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001"/>
  <workbookPr defaultThemeVersion="124226"/>
  <mc:AlternateContent xmlns:mc="http://schemas.openxmlformats.org/markup-compatibility/2006">
    <mc:Choice Requires="x15">
      <x15ac:absPath xmlns:x15ac="http://schemas.microsoft.com/office/spreadsheetml/2010/11/ac" url="L:\R et D\OFFRE DE FORMATION\Newsletter inventaire\version pour site web afdas\"/>
    </mc:Choice>
  </mc:AlternateContent>
  <xr:revisionPtr revIDLastSave="0" documentId="13_ncr:1_{A9720312-B56C-42F3-ACA7-493144432434}" xr6:coauthVersionLast="38" xr6:coauthVersionMax="38" xr10:uidLastSave="{00000000-0000-0000-0000-000000000000}"/>
  <bookViews>
    <workbookView xWindow="0" yWindow="0" windowWidth="25135" windowHeight="10132" xr2:uid="{00000000-000D-0000-FFFF-FFFF00000000}"/>
  </bookViews>
  <sheets>
    <sheet name="Certifications" sheetId="1" r:id="rId1"/>
  </sheets>
  <definedNames>
    <definedName name="_xlnm._FilterDatabase" localSheetId="0" hidden="1">Certifications!$A$8:$G$2108</definedName>
    <definedName name="Certifications">Certifications!$A$8:$G$2108</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2108" i="1" l="1"/>
  <c r="D2108" i="1"/>
  <c r="E2107" i="1"/>
  <c r="D2107" i="1"/>
  <c r="E2106" i="1"/>
  <c r="D2106" i="1"/>
  <c r="E2105" i="1"/>
  <c r="D2105" i="1"/>
  <c r="E2104" i="1"/>
  <c r="D2104" i="1"/>
  <c r="E2103" i="1"/>
  <c r="D2103" i="1"/>
  <c r="E2102" i="1"/>
  <c r="D2102" i="1"/>
  <c r="E2101" i="1"/>
  <c r="D2101" i="1"/>
  <c r="E2100" i="1"/>
  <c r="D2100" i="1"/>
  <c r="E2099" i="1"/>
  <c r="D2099" i="1"/>
  <c r="E2098" i="1"/>
  <c r="D2098" i="1"/>
  <c r="E2097" i="1"/>
  <c r="D2097" i="1"/>
  <c r="E2096" i="1"/>
  <c r="D2096" i="1"/>
  <c r="E2095" i="1"/>
  <c r="D2095" i="1"/>
  <c r="E2094" i="1"/>
  <c r="D2094" i="1"/>
  <c r="E2093" i="1"/>
  <c r="D2093" i="1"/>
  <c r="E2092" i="1"/>
  <c r="D2092" i="1"/>
  <c r="E2091" i="1"/>
  <c r="D2091" i="1"/>
  <c r="E2090" i="1"/>
  <c r="D2090" i="1"/>
  <c r="E2089" i="1"/>
  <c r="D2089" i="1"/>
  <c r="E2088" i="1"/>
  <c r="D2088" i="1"/>
  <c r="E2087" i="1"/>
  <c r="D2087" i="1"/>
  <c r="E2086" i="1"/>
  <c r="D2086" i="1"/>
  <c r="E2085" i="1"/>
  <c r="D2085" i="1"/>
  <c r="E2084" i="1"/>
  <c r="D2084" i="1"/>
  <c r="E2083" i="1"/>
  <c r="D2083" i="1"/>
  <c r="E2082" i="1"/>
  <c r="D2082" i="1"/>
  <c r="E2081" i="1"/>
  <c r="D2081" i="1"/>
  <c r="E2080" i="1"/>
  <c r="D2080" i="1"/>
  <c r="E2079" i="1"/>
  <c r="D2079" i="1"/>
  <c r="E2078" i="1"/>
  <c r="D2078" i="1"/>
  <c r="E2077" i="1"/>
  <c r="D2077" i="1"/>
  <c r="E2076" i="1"/>
  <c r="D2076" i="1"/>
  <c r="E2075" i="1"/>
  <c r="D2075" i="1"/>
  <c r="E2074" i="1"/>
  <c r="D2074" i="1"/>
  <c r="E2073" i="1"/>
  <c r="D2073" i="1"/>
  <c r="E2072" i="1"/>
  <c r="D2072" i="1"/>
  <c r="E2071" i="1"/>
  <c r="D2071" i="1"/>
  <c r="E2070" i="1"/>
  <c r="D2070" i="1"/>
  <c r="E2069" i="1"/>
  <c r="D2069" i="1"/>
  <c r="E2068" i="1"/>
  <c r="D2068" i="1"/>
  <c r="E2067" i="1"/>
  <c r="D2067" i="1"/>
  <c r="E2066" i="1"/>
  <c r="D2066" i="1"/>
  <c r="E2065" i="1"/>
  <c r="D2065" i="1"/>
  <c r="E2064" i="1"/>
  <c r="D2064" i="1"/>
  <c r="E2063" i="1"/>
  <c r="D2063" i="1"/>
  <c r="E2062" i="1"/>
  <c r="D2062" i="1"/>
  <c r="E2061" i="1"/>
  <c r="D2061" i="1"/>
  <c r="E2060" i="1"/>
  <c r="D2060" i="1"/>
  <c r="E2059" i="1"/>
  <c r="D2059" i="1"/>
  <c r="E2058" i="1"/>
  <c r="D2058" i="1"/>
  <c r="E2057" i="1"/>
  <c r="D2057" i="1"/>
  <c r="E2056" i="1"/>
  <c r="D2056" i="1"/>
  <c r="E2055" i="1"/>
  <c r="D2055" i="1"/>
  <c r="E2054" i="1"/>
  <c r="D2054" i="1"/>
  <c r="E2053" i="1"/>
  <c r="D2053" i="1"/>
  <c r="E2052" i="1"/>
  <c r="D2052" i="1"/>
  <c r="E2051" i="1"/>
  <c r="D2051" i="1"/>
  <c r="E2050" i="1"/>
  <c r="D2050" i="1"/>
  <c r="E2049" i="1"/>
  <c r="D2049" i="1"/>
  <c r="E2048" i="1"/>
  <c r="D2048" i="1"/>
  <c r="E2047" i="1"/>
  <c r="D2047" i="1"/>
  <c r="E2046" i="1"/>
  <c r="D2046" i="1"/>
  <c r="E2045" i="1"/>
  <c r="D2045" i="1"/>
  <c r="E2044" i="1"/>
  <c r="D2044" i="1"/>
  <c r="E2043" i="1"/>
  <c r="D2043" i="1"/>
  <c r="E2042" i="1"/>
  <c r="D2042" i="1"/>
  <c r="E2041" i="1"/>
  <c r="D2041" i="1"/>
  <c r="E2040" i="1"/>
  <c r="D2040" i="1"/>
  <c r="E2039" i="1"/>
  <c r="D2039" i="1"/>
  <c r="E2038" i="1"/>
  <c r="D2038" i="1"/>
  <c r="E2037" i="1"/>
  <c r="D2037" i="1"/>
  <c r="E2036" i="1"/>
  <c r="D2036" i="1"/>
  <c r="E2035" i="1"/>
  <c r="D2035" i="1"/>
  <c r="E2034" i="1"/>
  <c r="D2034" i="1"/>
  <c r="E2033" i="1"/>
  <c r="D2033" i="1"/>
  <c r="E2032" i="1"/>
  <c r="D2032" i="1"/>
  <c r="E2031" i="1"/>
  <c r="D2031" i="1"/>
  <c r="E2030" i="1"/>
  <c r="D2030" i="1"/>
  <c r="E2029" i="1"/>
  <c r="D2029" i="1"/>
  <c r="E2028" i="1"/>
  <c r="D2028" i="1"/>
  <c r="E2027" i="1"/>
  <c r="D2027" i="1"/>
  <c r="E2026" i="1"/>
  <c r="D2026" i="1"/>
  <c r="E2025" i="1"/>
  <c r="D2025" i="1"/>
  <c r="E2024" i="1"/>
  <c r="D2024" i="1"/>
  <c r="E2023" i="1"/>
  <c r="D2023" i="1"/>
  <c r="E2022" i="1"/>
  <c r="D2022" i="1"/>
  <c r="E2021" i="1"/>
  <c r="D2021" i="1"/>
  <c r="E2020" i="1"/>
  <c r="D2020" i="1"/>
  <c r="E2019" i="1"/>
  <c r="D2019" i="1"/>
  <c r="E2018" i="1"/>
  <c r="D2018" i="1"/>
  <c r="E2017" i="1"/>
  <c r="D2017" i="1"/>
  <c r="E2016" i="1"/>
  <c r="D2016" i="1"/>
  <c r="E2015" i="1"/>
  <c r="D2015" i="1"/>
  <c r="E2014" i="1"/>
  <c r="D2014" i="1"/>
  <c r="E2013" i="1"/>
  <c r="D2013" i="1"/>
  <c r="E2012" i="1"/>
  <c r="D2012" i="1"/>
  <c r="E2011" i="1"/>
  <c r="D2011" i="1"/>
  <c r="E2010" i="1"/>
  <c r="D2010" i="1"/>
  <c r="E2009" i="1"/>
  <c r="D2009" i="1"/>
  <c r="E2008" i="1"/>
  <c r="D2008" i="1"/>
  <c r="E2007" i="1"/>
  <c r="D2007" i="1"/>
  <c r="E2006" i="1"/>
  <c r="D2006" i="1"/>
  <c r="E2005" i="1"/>
  <c r="D2005" i="1"/>
  <c r="E2004" i="1"/>
  <c r="D2004" i="1"/>
  <c r="E2003" i="1"/>
  <c r="D2003" i="1"/>
  <c r="E2002" i="1"/>
  <c r="D2002" i="1"/>
  <c r="E2001" i="1"/>
  <c r="D2001" i="1"/>
  <c r="E2000" i="1"/>
  <c r="D2000" i="1"/>
  <c r="E1999" i="1"/>
  <c r="D1999" i="1"/>
  <c r="E1998" i="1"/>
  <c r="D1998" i="1"/>
  <c r="E1997" i="1"/>
  <c r="D1997" i="1"/>
  <c r="E1996" i="1"/>
  <c r="D1996" i="1"/>
  <c r="E1995" i="1"/>
  <c r="D1995" i="1"/>
  <c r="E1994" i="1"/>
  <c r="D1994" i="1"/>
  <c r="E1993" i="1"/>
  <c r="D1993" i="1"/>
  <c r="E1992" i="1"/>
  <c r="D1992" i="1"/>
  <c r="E1991" i="1"/>
  <c r="D1991" i="1"/>
  <c r="E1990" i="1"/>
  <c r="D1990" i="1"/>
  <c r="E1989" i="1"/>
  <c r="D1989" i="1"/>
  <c r="E1988" i="1"/>
  <c r="D1988" i="1"/>
  <c r="E1987" i="1"/>
  <c r="D1987" i="1"/>
  <c r="E1986" i="1"/>
  <c r="D1986" i="1"/>
  <c r="E1985" i="1"/>
  <c r="D1985" i="1"/>
  <c r="E1984" i="1"/>
  <c r="D1984" i="1"/>
  <c r="E1983" i="1"/>
  <c r="D1983" i="1"/>
  <c r="E1982" i="1"/>
  <c r="D1982" i="1"/>
  <c r="E1981" i="1"/>
  <c r="D1981" i="1"/>
  <c r="E1980" i="1"/>
  <c r="D1980" i="1"/>
  <c r="E1979" i="1"/>
  <c r="D1979" i="1"/>
  <c r="E1978" i="1"/>
  <c r="D1978" i="1"/>
  <c r="E1977" i="1"/>
  <c r="D1977" i="1"/>
  <c r="E1976" i="1"/>
  <c r="D1976" i="1"/>
  <c r="E1975" i="1"/>
  <c r="D1975" i="1"/>
  <c r="E1974" i="1"/>
  <c r="D1974" i="1"/>
  <c r="E1973" i="1"/>
  <c r="D1973" i="1"/>
  <c r="E1972" i="1"/>
  <c r="E1971" i="1"/>
  <c r="D1971" i="1"/>
  <c r="E1970" i="1"/>
  <c r="E1969" i="1"/>
  <c r="D1969" i="1"/>
  <c r="E1968" i="1"/>
  <c r="D1968" i="1"/>
  <c r="E1967" i="1"/>
  <c r="D1967" i="1"/>
  <c r="E1966" i="1"/>
  <c r="D1966" i="1"/>
  <c r="E1965" i="1"/>
  <c r="E1964" i="1"/>
  <c r="D1964" i="1"/>
  <c r="E1963" i="1"/>
  <c r="D1963" i="1"/>
  <c r="E1962" i="1"/>
  <c r="D1962" i="1"/>
  <c r="E1961" i="1"/>
  <c r="D1961" i="1"/>
  <c r="E1960" i="1"/>
  <c r="D1960" i="1"/>
  <c r="E1959" i="1"/>
  <c r="D1959" i="1"/>
  <c r="E1958" i="1"/>
  <c r="D1958" i="1"/>
  <c r="E1957" i="1"/>
  <c r="D1957" i="1"/>
  <c r="E1956" i="1"/>
  <c r="D1956" i="1"/>
  <c r="E1955" i="1"/>
  <c r="D1955" i="1"/>
  <c r="E1954" i="1"/>
  <c r="D1954" i="1"/>
  <c r="E1953" i="1"/>
  <c r="D1953" i="1"/>
  <c r="E1952" i="1"/>
  <c r="D1952" i="1"/>
  <c r="E1951" i="1"/>
  <c r="D1951" i="1"/>
  <c r="E1950" i="1"/>
  <c r="D1950" i="1"/>
  <c r="E1949" i="1"/>
  <c r="D1949" i="1"/>
  <c r="E1948" i="1"/>
  <c r="D1948" i="1"/>
  <c r="E1947" i="1"/>
  <c r="D1947" i="1"/>
  <c r="E1946" i="1"/>
  <c r="D1946" i="1"/>
  <c r="E1945" i="1"/>
  <c r="D1945" i="1"/>
  <c r="E1944" i="1"/>
  <c r="D1944" i="1"/>
  <c r="E1943" i="1"/>
  <c r="D1943" i="1"/>
  <c r="E1942" i="1"/>
  <c r="D1942" i="1"/>
  <c r="E1941" i="1"/>
  <c r="D1941" i="1"/>
  <c r="E1940" i="1"/>
  <c r="D1940" i="1"/>
  <c r="E1939" i="1"/>
  <c r="D1939" i="1"/>
  <c r="E1938" i="1"/>
  <c r="D1938" i="1"/>
  <c r="E1937" i="1"/>
  <c r="D1937" i="1"/>
  <c r="E1936" i="1"/>
  <c r="E1935" i="1"/>
  <c r="D1935" i="1"/>
  <c r="E1934" i="1"/>
  <c r="D1934" i="1"/>
  <c r="E1933" i="1"/>
  <c r="D1933" i="1"/>
  <c r="E1932" i="1"/>
  <c r="D1932" i="1"/>
  <c r="E1931" i="1"/>
  <c r="D1931" i="1"/>
  <c r="E1930" i="1"/>
  <c r="D1930" i="1"/>
  <c r="E1929" i="1"/>
  <c r="D1929" i="1"/>
  <c r="E1928" i="1"/>
  <c r="D1928" i="1"/>
  <c r="E1927" i="1"/>
  <c r="E1926" i="1"/>
  <c r="D1926" i="1"/>
  <c r="E1925" i="1"/>
  <c r="D1925" i="1"/>
  <c r="E1924" i="1"/>
  <c r="D1924" i="1"/>
  <c r="E1923" i="1"/>
  <c r="D1923" i="1"/>
  <c r="E1922" i="1"/>
  <c r="D1922" i="1"/>
  <c r="E1921" i="1"/>
  <c r="D1921" i="1"/>
  <c r="E1920" i="1"/>
  <c r="D1920" i="1"/>
  <c r="E1919" i="1"/>
  <c r="D1919" i="1"/>
  <c r="E1918" i="1"/>
  <c r="D1918" i="1"/>
  <c r="E1917" i="1"/>
  <c r="D1917" i="1"/>
  <c r="E1916" i="1"/>
  <c r="D1916" i="1"/>
  <c r="E1915" i="1"/>
  <c r="D1915" i="1"/>
  <c r="E1914" i="1"/>
  <c r="D1914" i="1"/>
  <c r="E1913" i="1"/>
  <c r="D1913" i="1"/>
  <c r="E1912" i="1"/>
  <c r="D1912" i="1"/>
  <c r="E1911" i="1"/>
  <c r="D1911" i="1"/>
  <c r="E1910" i="1"/>
  <c r="D1910" i="1"/>
  <c r="E1909" i="1"/>
  <c r="D1909" i="1"/>
  <c r="E1908" i="1"/>
  <c r="D1908" i="1"/>
  <c r="E1907" i="1"/>
  <c r="D1907" i="1"/>
  <c r="E1906" i="1"/>
  <c r="D1906" i="1"/>
  <c r="E1905" i="1"/>
  <c r="D1905" i="1"/>
  <c r="E1904" i="1"/>
  <c r="D1904" i="1"/>
  <c r="E1903" i="1"/>
  <c r="D1903" i="1"/>
  <c r="E1902" i="1"/>
  <c r="D1902" i="1"/>
  <c r="E1901" i="1"/>
  <c r="D1901" i="1"/>
  <c r="E1900" i="1"/>
  <c r="D1900" i="1"/>
  <c r="E1899" i="1"/>
  <c r="D1899" i="1"/>
  <c r="E1898" i="1"/>
  <c r="D1898" i="1"/>
  <c r="E1897" i="1"/>
  <c r="D1897" i="1"/>
  <c r="E1896" i="1"/>
  <c r="D1896" i="1"/>
  <c r="E1895" i="1"/>
  <c r="D1895" i="1"/>
  <c r="E1894" i="1"/>
  <c r="D1894" i="1"/>
  <c r="E1893" i="1"/>
  <c r="D1893" i="1"/>
  <c r="E1892" i="1"/>
  <c r="D1892" i="1"/>
  <c r="E1891" i="1"/>
  <c r="D1891" i="1"/>
  <c r="E1890" i="1"/>
  <c r="D1890" i="1"/>
  <c r="E1889" i="1"/>
  <c r="D1889" i="1"/>
  <c r="E1888" i="1"/>
  <c r="D1888" i="1"/>
  <c r="E1887" i="1"/>
  <c r="D1887" i="1"/>
  <c r="E1886" i="1"/>
  <c r="D1886" i="1"/>
  <c r="E1885" i="1"/>
  <c r="D1885" i="1"/>
  <c r="E1884" i="1"/>
  <c r="D1884" i="1"/>
  <c r="E1883" i="1"/>
  <c r="D1883" i="1"/>
  <c r="E1882" i="1"/>
  <c r="D1882" i="1"/>
  <c r="E1881" i="1"/>
  <c r="D1881" i="1"/>
  <c r="E1880" i="1"/>
  <c r="D1880" i="1"/>
  <c r="E1879" i="1"/>
  <c r="D1879" i="1"/>
  <c r="E1878" i="1"/>
  <c r="D1878" i="1"/>
  <c r="E1877" i="1"/>
  <c r="D1877" i="1"/>
  <c r="E1876" i="1"/>
  <c r="D1876" i="1"/>
  <c r="E1875" i="1"/>
  <c r="D1875" i="1"/>
  <c r="E1874" i="1"/>
  <c r="D1874" i="1"/>
  <c r="E1873" i="1"/>
  <c r="D1873" i="1"/>
  <c r="E1872" i="1"/>
  <c r="D1872" i="1"/>
  <c r="E1871" i="1"/>
  <c r="D1871" i="1"/>
  <c r="E1870" i="1"/>
  <c r="D1870" i="1"/>
  <c r="E1869" i="1"/>
  <c r="D1869" i="1"/>
  <c r="E1868" i="1"/>
  <c r="D1868" i="1"/>
  <c r="E1867" i="1"/>
  <c r="D1867" i="1"/>
  <c r="E1866" i="1"/>
  <c r="D1866" i="1"/>
  <c r="E1865" i="1"/>
  <c r="D1865" i="1"/>
  <c r="E1864" i="1"/>
  <c r="D1864" i="1"/>
  <c r="E1863" i="1"/>
  <c r="D1863" i="1"/>
  <c r="E1862" i="1"/>
  <c r="D1862" i="1"/>
  <c r="E1861" i="1"/>
  <c r="D1861" i="1"/>
  <c r="E1860" i="1"/>
  <c r="D1860" i="1"/>
  <c r="E1859" i="1"/>
  <c r="D1859" i="1"/>
  <c r="E1858" i="1"/>
  <c r="D1858" i="1"/>
  <c r="E1857" i="1"/>
  <c r="D1857" i="1"/>
  <c r="E1856" i="1"/>
  <c r="D1856" i="1"/>
  <c r="E1855" i="1"/>
  <c r="D1855" i="1"/>
  <c r="E1854" i="1"/>
  <c r="D1854" i="1"/>
  <c r="E1853" i="1"/>
  <c r="D1853" i="1"/>
  <c r="E1852" i="1"/>
  <c r="D1852" i="1"/>
  <c r="E1851" i="1"/>
  <c r="D1851" i="1"/>
  <c r="E1850" i="1"/>
  <c r="D1850" i="1"/>
  <c r="E1849" i="1"/>
  <c r="D1849" i="1"/>
  <c r="E1848" i="1"/>
  <c r="D1848" i="1"/>
  <c r="E1847" i="1"/>
  <c r="D1847" i="1"/>
  <c r="E1846" i="1"/>
  <c r="D1846" i="1"/>
  <c r="E1845" i="1"/>
  <c r="D1845" i="1"/>
  <c r="E1844" i="1"/>
  <c r="D1844" i="1"/>
  <c r="E1843" i="1"/>
  <c r="D1843" i="1"/>
  <c r="E1842" i="1"/>
  <c r="D1842" i="1"/>
  <c r="E1841" i="1"/>
  <c r="D1841" i="1"/>
  <c r="E1840" i="1"/>
  <c r="D1840" i="1"/>
  <c r="E1839" i="1"/>
  <c r="D1839" i="1"/>
  <c r="E1838" i="1"/>
  <c r="D1838" i="1"/>
  <c r="E1837" i="1"/>
  <c r="D1837" i="1"/>
  <c r="E1836" i="1"/>
  <c r="D1836" i="1"/>
  <c r="E1835" i="1"/>
  <c r="D1835" i="1"/>
  <c r="E1834" i="1"/>
  <c r="D1834" i="1"/>
  <c r="E1833" i="1"/>
  <c r="D1833" i="1"/>
  <c r="E1832" i="1"/>
  <c r="D1832" i="1"/>
  <c r="E1831" i="1"/>
  <c r="D1831" i="1"/>
  <c r="E1830" i="1"/>
  <c r="D1830" i="1"/>
  <c r="E1829" i="1"/>
  <c r="D1829" i="1"/>
  <c r="E1828" i="1"/>
  <c r="D1828" i="1"/>
  <c r="E1827" i="1"/>
  <c r="D1827" i="1"/>
  <c r="E1826" i="1"/>
  <c r="D1826" i="1"/>
  <c r="E1825" i="1"/>
  <c r="D1825" i="1"/>
  <c r="E1824" i="1"/>
  <c r="D1824" i="1"/>
  <c r="E1823" i="1"/>
  <c r="D1823" i="1"/>
  <c r="E1822" i="1"/>
  <c r="D1822" i="1"/>
  <c r="E1821" i="1"/>
  <c r="D1821" i="1"/>
  <c r="E1820" i="1"/>
  <c r="D1820" i="1"/>
  <c r="E1819" i="1"/>
  <c r="D1819" i="1"/>
  <c r="E1818" i="1"/>
  <c r="D1818" i="1"/>
  <c r="E1817" i="1"/>
  <c r="D1817" i="1"/>
  <c r="E1816" i="1"/>
  <c r="D1816" i="1"/>
  <c r="E1815" i="1"/>
  <c r="D1815" i="1"/>
  <c r="E1814" i="1"/>
  <c r="D1814" i="1"/>
  <c r="E1813" i="1"/>
  <c r="D1813" i="1"/>
  <c r="E1812" i="1"/>
  <c r="D1812" i="1"/>
  <c r="E1811" i="1"/>
  <c r="D1811" i="1"/>
  <c r="E1810" i="1"/>
  <c r="D1810" i="1"/>
  <c r="E1809" i="1"/>
  <c r="D1809" i="1"/>
  <c r="E1808" i="1"/>
  <c r="D1808" i="1"/>
  <c r="E1807" i="1"/>
  <c r="D1807" i="1"/>
  <c r="E1806" i="1"/>
  <c r="D1806" i="1"/>
  <c r="E1805" i="1"/>
  <c r="D1805" i="1"/>
  <c r="E1804" i="1"/>
  <c r="D1804" i="1"/>
  <c r="E1803" i="1"/>
  <c r="D1803" i="1"/>
  <c r="E1802" i="1"/>
  <c r="D1802" i="1"/>
  <c r="E1801" i="1"/>
  <c r="D1801" i="1"/>
  <c r="E1800" i="1"/>
  <c r="D1800" i="1"/>
  <c r="E1799" i="1"/>
  <c r="D1799" i="1"/>
  <c r="E1798" i="1"/>
  <c r="D1798" i="1"/>
  <c r="E1797" i="1"/>
  <c r="D1797" i="1"/>
  <c r="E1796" i="1"/>
  <c r="D1796" i="1"/>
  <c r="E1795" i="1"/>
  <c r="D1795" i="1"/>
  <c r="E1794" i="1"/>
  <c r="D1794" i="1"/>
  <c r="E1793" i="1"/>
  <c r="D1793" i="1"/>
  <c r="E1792" i="1"/>
  <c r="D1792" i="1"/>
  <c r="E1791" i="1"/>
  <c r="D1791" i="1"/>
  <c r="E1790" i="1"/>
  <c r="D1790" i="1"/>
  <c r="E1789" i="1"/>
  <c r="D1789" i="1"/>
  <c r="E1788" i="1"/>
  <c r="D1788" i="1"/>
  <c r="E1787" i="1"/>
  <c r="D1787" i="1"/>
  <c r="E1786" i="1"/>
  <c r="D1786" i="1"/>
  <c r="E1785" i="1"/>
  <c r="D1785" i="1"/>
  <c r="E1784" i="1"/>
  <c r="D1784" i="1"/>
  <c r="E1783" i="1"/>
  <c r="D1783" i="1"/>
  <c r="E1782" i="1"/>
  <c r="D1782" i="1"/>
  <c r="E1781" i="1"/>
  <c r="D1781" i="1"/>
  <c r="E1780" i="1"/>
  <c r="D1780" i="1"/>
  <c r="E1779" i="1"/>
  <c r="D1779" i="1"/>
  <c r="E1778" i="1"/>
  <c r="D1778" i="1"/>
  <c r="E1777" i="1"/>
  <c r="D1777" i="1"/>
  <c r="E1776" i="1"/>
  <c r="D1776" i="1"/>
  <c r="E1775" i="1"/>
  <c r="D1775" i="1"/>
  <c r="E1774" i="1"/>
  <c r="D1774" i="1"/>
  <c r="E1773" i="1"/>
  <c r="D1773" i="1"/>
  <c r="E1772" i="1"/>
  <c r="D1772" i="1"/>
  <c r="E1771" i="1"/>
  <c r="D1771" i="1"/>
  <c r="E1770" i="1"/>
  <c r="D1770" i="1"/>
  <c r="E1769" i="1"/>
  <c r="D1769" i="1"/>
  <c r="E1768" i="1"/>
  <c r="D1768" i="1"/>
  <c r="E1767" i="1"/>
  <c r="D1767" i="1"/>
  <c r="E1766" i="1"/>
  <c r="D1766" i="1"/>
  <c r="E1765" i="1"/>
  <c r="D1765" i="1"/>
  <c r="E1764" i="1"/>
  <c r="D1764" i="1"/>
  <c r="E1763" i="1"/>
  <c r="D1763" i="1"/>
  <c r="E1762" i="1"/>
  <c r="D1762" i="1"/>
  <c r="E1761" i="1"/>
  <c r="D1761" i="1"/>
  <c r="E1760" i="1"/>
  <c r="D1760" i="1"/>
  <c r="E1759" i="1"/>
  <c r="D1759" i="1"/>
  <c r="E1758" i="1"/>
  <c r="D1758" i="1"/>
  <c r="E1757" i="1"/>
  <c r="D1757" i="1"/>
  <c r="E1756" i="1"/>
  <c r="D1756" i="1"/>
  <c r="E1755" i="1"/>
  <c r="D1755" i="1"/>
  <c r="E1754" i="1"/>
  <c r="D1754" i="1"/>
  <c r="E1753" i="1"/>
  <c r="D1753" i="1"/>
  <c r="E1752" i="1"/>
  <c r="D1752" i="1"/>
  <c r="E1751" i="1"/>
  <c r="D1751" i="1"/>
  <c r="E1750" i="1"/>
  <c r="D1750" i="1"/>
  <c r="E1749" i="1"/>
  <c r="D1749" i="1"/>
  <c r="E1748" i="1"/>
  <c r="D1748" i="1"/>
  <c r="E1747" i="1"/>
  <c r="D1747" i="1"/>
  <c r="E1746" i="1"/>
  <c r="D1746" i="1"/>
  <c r="E1745" i="1"/>
  <c r="D1745" i="1"/>
  <c r="E1744" i="1"/>
  <c r="D1744" i="1"/>
  <c r="E1743" i="1"/>
  <c r="D1743" i="1"/>
  <c r="E1742" i="1"/>
  <c r="D1742" i="1"/>
  <c r="E1741" i="1"/>
  <c r="D1741" i="1"/>
  <c r="E1740" i="1"/>
  <c r="D1740" i="1"/>
  <c r="E1739" i="1"/>
  <c r="D1739" i="1"/>
  <c r="E1738" i="1"/>
  <c r="D1738" i="1"/>
  <c r="E1737" i="1"/>
  <c r="D1737" i="1"/>
  <c r="E1736" i="1"/>
  <c r="D1736" i="1"/>
  <c r="E1735" i="1"/>
  <c r="D1735" i="1"/>
  <c r="E1734" i="1"/>
  <c r="D1734" i="1"/>
  <c r="E1733" i="1"/>
  <c r="D1733" i="1"/>
  <c r="E1732" i="1"/>
  <c r="D1732" i="1"/>
  <c r="E1731" i="1"/>
  <c r="D1731" i="1"/>
  <c r="E1730" i="1"/>
  <c r="D1730" i="1"/>
  <c r="E1729" i="1"/>
  <c r="D1729" i="1"/>
  <c r="E1728" i="1"/>
  <c r="D1728" i="1"/>
  <c r="E1727" i="1"/>
  <c r="D1727" i="1"/>
  <c r="E1726" i="1"/>
  <c r="D1726" i="1"/>
  <c r="E1725" i="1"/>
  <c r="D1725" i="1"/>
  <c r="E1724" i="1"/>
  <c r="D1724" i="1"/>
  <c r="E1723" i="1"/>
  <c r="D1723" i="1"/>
  <c r="E1722" i="1"/>
  <c r="D1722" i="1"/>
  <c r="E1721" i="1"/>
  <c r="D1721" i="1"/>
  <c r="E1720" i="1"/>
  <c r="D1720" i="1"/>
  <c r="E1719" i="1"/>
  <c r="D1719" i="1"/>
  <c r="E1718" i="1"/>
  <c r="D1718" i="1"/>
  <c r="E1717" i="1"/>
  <c r="D1717" i="1"/>
  <c r="E1716" i="1"/>
  <c r="D1716" i="1"/>
  <c r="E1715" i="1"/>
  <c r="D1715" i="1"/>
  <c r="E1714" i="1"/>
  <c r="D1714" i="1"/>
  <c r="E1713" i="1"/>
  <c r="D1713" i="1"/>
  <c r="E1712" i="1"/>
  <c r="D1712" i="1"/>
  <c r="E1711" i="1"/>
  <c r="D1711" i="1"/>
  <c r="E1710" i="1"/>
  <c r="D1710" i="1"/>
  <c r="E1709" i="1"/>
  <c r="D1709" i="1"/>
  <c r="E1708" i="1"/>
  <c r="D1708" i="1"/>
  <c r="E1707" i="1"/>
  <c r="D1707" i="1"/>
  <c r="E1706" i="1"/>
  <c r="D1706" i="1"/>
  <c r="E1705" i="1"/>
  <c r="D1705" i="1"/>
  <c r="E1704" i="1"/>
  <c r="D1704" i="1"/>
  <c r="E1703" i="1"/>
  <c r="D1703" i="1"/>
  <c r="E1702" i="1"/>
  <c r="D1702" i="1"/>
  <c r="E1701" i="1"/>
  <c r="D1701" i="1"/>
  <c r="E1700" i="1"/>
  <c r="D1700" i="1"/>
  <c r="E1699" i="1"/>
  <c r="D1699" i="1"/>
  <c r="E1698" i="1"/>
  <c r="D1698" i="1"/>
  <c r="E1697" i="1"/>
  <c r="D1697" i="1"/>
  <c r="E1696" i="1"/>
  <c r="D1696" i="1"/>
  <c r="E1695" i="1"/>
  <c r="D1695" i="1"/>
  <c r="E1694" i="1"/>
  <c r="D1694" i="1"/>
  <c r="E1693" i="1"/>
  <c r="D1693" i="1"/>
  <c r="E1692" i="1"/>
  <c r="D1692" i="1"/>
  <c r="E1691" i="1"/>
  <c r="D1691" i="1"/>
  <c r="E1690" i="1"/>
  <c r="D1690" i="1"/>
  <c r="E1689" i="1"/>
  <c r="D1689" i="1"/>
  <c r="E1688" i="1"/>
  <c r="D1688" i="1"/>
  <c r="E1687" i="1"/>
  <c r="D1687" i="1"/>
  <c r="E1686" i="1"/>
  <c r="D1686" i="1"/>
  <c r="E1685" i="1"/>
  <c r="D1685" i="1"/>
  <c r="E1684" i="1"/>
  <c r="D1684" i="1"/>
  <c r="E1683" i="1"/>
  <c r="D1683" i="1"/>
  <c r="E1682" i="1"/>
  <c r="D1682" i="1"/>
  <c r="E1681" i="1"/>
  <c r="D1681" i="1"/>
  <c r="E1680" i="1"/>
  <c r="D1680" i="1"/>
  <c r="E1679" i="1"/>
  <c r="D1679" i="1"/>
  <c r="E1678" i="1"/>
  <c r="D1678" i="1"/>
  <c r="E1677" i="1"/>
  <c r="D1677" i="1"/>
  <c r="E1676" i="1"/>
  <c r="D1676" i="1"/>
  <c r="E1675" i="1"/>
  <c r="D1675" i="1"/>
  <c r="E1674" i="1"/>
  <c r="D1674" i="1"/>
  <c r="E1673" i="1"/>
  <c r="D1673" i="1"/>
  <c r="E1672" i="1"/>
  <c r="D1672" i="1"/>
  <c r="E1671" i="1"/>
  <c r="D1671" i="1"/>
  <c r="E1670" i="1"/>
  <c r="D1670" i="1"/>
  <c r="E1669" i="1"/>
  <c r="D1669" i="1"/>
  <c r="E1668" i="1"/>
  <c r="D1668" i="1"/>
  <c r="E1667" i="1"/>
  <c r="D1667" i="1"/>
  <c r="E1666" i="1"/>
  <c r="D1666" i="1"/>
  <c r="E1665" i="1"/>
  <c r="D1665" i="1"/>
  <c r="E1664" i="1"/>
  <c r="D1664" i="1"/>
  <c r="E1663" i="1"/>
  <c r="D1663" i="1"/>
  <c r="E1662" i="1"/>
  <c r="D1662" i="1"/>
  <c r="E1661" i="1"/>
  <c r="D1661" i="1"/>
  <c r="E1660" i="1"/>
  <c r="D1660" i="1"/>
  <c r="E1659" i="1"/>
  <c r="D1659" i="1"/>
  <c r="E1658" i="1"/>
  <c r="D1658" i="1"/>
  <c r="E1657" i="1"/>
  <c r="D1657" i="1"/>
  <c r="E1656" i="1"/>
  <c r="D1656" i="1"/>
  <c r="E1655" i="1"/>
  <c r="D1655" i="1"/>
  <c r="E1654" i="1"/>
  <c r="D1654" i="1"/>
  <c r="E1653" i="1"/>
  <c r="D1653" i="1"/>
  <c r="E1652" i="1"/>
  <c r="D1652" i="1"/>
  <c r="E1651" i="1"/>
  <c r="D1651" i="1"/>
  <c r="E1650" i="1"/>
  <c r="D1650" i="1"/>
  <c r="E1649" i="1"/>
  <c r="D1649" i="1"/>
  <c r="E1648" i="1"/>
  <c r="D1648" i="1"/>
  <c r="E1647" i="1"/>
  <c r="D1647" i="1"/>
  <c r="E1646" i="1"/>
  <c r="D1646" i="1"/>
  <c r="E1645" i="1"/>
  <c r="D1645" i="1"/>
  <c r="E1644" i="1"/>
  <c r="D1644" i="1"/>
  <c r="E1643" i="1"/>
  <c r="D1643" i="1"/>
  <c r="E1642" i="1"/>
  <c r="D1642" i="1"/>
  <c r="E1641" i="1"/>
  <c r="D1641" i="1"/>
  <c r="E1640" i="1"/>
  <c r="D1640" i="1"/>
  <c r="E1639" i="1"/>
  <c r="D1639" i="1"/>
  <c r="E1638" i="1"/>
  <c r="D1638" i="1"/>
  <c r="E1637" i="1"/>
  <c r="D1637" i="1"/>
  <c r="E1636" i="1"/>
  <c r="D1636" i="1"/>
  <c r="E1635" i="1"/>
  <c r="D1635" i="1"/>
  <c r="E1634" i="1"/>
  <c r="D1634" i="1"/>
  <c r="E1633" i="1"/>
  <c r="D1633" i="1"/>
  <c r="E1632" i="1"/>
  <c r="D1632" i="1"/>
  <c r="E1631" i="1"/>
  <c r="D1631" i="1"/>
  <c r="E1630" i="1"/>
  <c r="D1630" i="1"/>
  <c r="E1629" i="1"/>
  <c r="D1629" i="1"/>
  <c r="E1628" i="1"/>
  <c r="D1628" i="1"/>
  <c r="E1627" i="1"/>
  <c r="D1627" i="1"/>
  <c r="E1626" i="1"/>
  <c r="D1626" i="1"/>
  <c r="E1625" i="1"/>
  <c r="D1625" i="1"/>
  <c r="E1624" i="1"/>
  <c r="D1624" i="1"/>
  <c r="E1623" i="1"/>
  <c r="D1623" i="1"/>
  <c r="E1622" i="1"/>
  <c r="D1622" i="1"/>
  <c r="E1621" i="1"/>
  <c r="D1621" i="1"/>
  <c r="E1620" i="1"/>
  <c r="D1620" i="1"/>
  <c r="E1619" i="1"/>
  <c r="D1619" i="1"/>
  <c r="E1618" i="1"/>
  <c r="D1618" i="1"/>
  <c r="E1617" i="1"/>
  <c r="D1617" i="1"/>
  <c r="E1616" i="1"/>
  <c r="D1616" i="1"/>
  <c r="E1615" i="1"/>
  <c r="D1615" i="1"/>
  <c r="E1614" i="1"/>
  <c r="D1614" i="1"/>
  <c r="E1613" i="1"/>
  <c r="D1613" i="1"/>
  <c r="E1612" i="1"/>
  <c r="D1612" i="1"/>
  <c r="E1611" i="1"/>
  <c r="D1611" i="1"/>
  <c r="E1610" i="1"/>
  <c r="D1610" i="1"/>
  <c r="E1609" i="1"/>
  <c r="D1609" i="1"/>
  <c r="E1608" i="1"/>
  <c r="D1608" i="1"/>
  <c r="E1607" i="1"/>
  <c r="D1607" i="1"/>
  <c r="E1606" i="1"/>
  <c r="D1606" i="1"/>
  <c r="E1605" i="1"/>
  <c r="D1605" i="1"/>
  <c r="E1604" i="1"/>
  <c r="D1604" i="1"/>
  <c r="E1603" i="1"/>
  <c r="D1603" i="1"/>
  <c r="E1602" i="1"/>
  <c r="D1602" i="1"/>
  <c r="E1601" i="1"/>
  <c r="D1601" i="1"/>
  <c r="E1600" i="1"/>
  <c r="D1600" i="1"/>
  <c r="E1599" i="1"/>
  <c r="D1599" i="1"/>
  <c r="E1598" i="1"/>
  <c r="D1598" i="1"/>
  <c r="E1597" i="1"/>
  <c r="D1597" i="1"/>
  <c r="E1596" i="1"/>
  <c r="D1596" i="1"/>
  <c r="E1595" i="1"/>
  <c r="D1595" i="1"/>
  <c r="E1594" i="1"/>
  <c r="D1594" i="1"/>
  <c r="E1593" i="1"/>
  <c r="D1593" i="1"/>
  <c r="E1592" i="1"/>
  <c r="D1592" i="1"/>
  <c r="E1591" i="1"/>
  <c r="D1591" i="1"/>
  <c r="E1590" i="1"/>
  <c r="D1590" i="1"/>
  <c r="E1589" i="1"/>
  <c r="D1589" i="1"/>
  <c r="E1588" i="1"/>
  <c r="D1588" i="1"/>
  <c r="E1587" i="1"/>
  <c r="D1587" i="1"/>
  <c r="E1586" i="1"/>
  <c r="D1586" i="1"/>
  <c r="E1585" i="1"/>
  <c r="D1585" i="1"/>
  <c r="E1584" i="1"/>
  <c r="D1584" i="1"/>
  <c r="E1583" i="1"/>
  <c r="D1583" i="1"/>
  <c r="E1582" i="1"/>
  <c r="D1582" i="1"/>
  <c r="E1581" i="1"/>
  <c r="D1581" i="1"/>
  <c r="E1580" i="1"/>
  <c r="D1580" i="1"/>
  <c r="E1579" i="1"/>
  <c r="D1579" i="1"/>
  <c r="E1578" i="1"/>
  <c r="D1578" i="1"/>
  <c r="E1577" i="1"/>
  <c r="D1577" i="1"/>
  <c r="E1576" i="1"/>
  <c r="D1576" i="1"/>
  <c r="E1575" i="1"/>
  <c r="D1575" i="1"/>
  <c r="E1574" i="1"/>
  <c r="D1574" i="1"/>
  <c r="E1573" i="1"/>
  <c r="D1573" i="1"/>
  <c r="E1572" i="1"/>
  <c r="D1572" i="1"/>
  <c r="E1571" i="1"/>
  <c r="D1571" i="1"/>
  <c r="E1570" i="1"/>
  <c r="D1570" i="1"/>
  <c r="E1569" i="1"/>
  <c r="D1569" i="1"/>
  <c r="E1568" i="1"/>
  <c r="D1568" i="1"/>
  <c r="E1567" i="1"/>
  <c r="D1567" i="1"/>
  <c r="E1566" i="1"/>
  <c r="D1566" i="1"/>
  <c r="E1565" i="1"/>
  <c r="D1565" i="1"/>
  <c r="E1564" i="1"/>
  <c r="D1564" i="1"/>
  <c r="E1563" i="1"/>
  <c r="D1563" i="1"/>
  <c r="E1562" i="1"/>
  <c r="D1562" i="1"/>
  <c r="E1561" i="1"/>
  <c r="D1561" i="1"/>
  <c r="E1560" i="1"/>
  <c r="D1560" i="1"/>
  <c r="E1559" i="1"/>
  <c r="D1559" i="1"/>
  <c r="E1558" i="1"/>
  <c r="D1558" i="1"/>
  <c r="E1557" i="1"/>
  <c r="D1557" i="1"/>
  <c r="E1556" i="1"/>
  <c r="D1556" i="1"/>
  <c r="E1555" i="1"/>
  <c r="D1555" i="1"/>
  <c r="E1554" i="1"/>
  <c r="D1554" i="1"/>
  <c r="E1553" i="1"/>
  <c r="D1553" i="1"/>
  <c r="E1552" i="1"/>
  <c r="D1552" i="1"/>
  <c r="E1551" i="1"/>
  <c r="D1551" i="1"/>
  <c r="E1550" i="1"/>
  <c r="D1550" i="1"/>
  <c r="E1549" i="1"/>
  <c r="D1549" i="1"/>
  <c r="E1548" i="1"/>
  <c r="D1548" i="1"/>
  <c r="E1547" i="1"/>
  <c r="D1547" i="1"/>
  <c r="E1546" i="1"/>
  <c r="D1546" i="1"/>
  <c r="E1545" i="1"/>
  <c r="D1545" i="1"/>
  <c r="E1544" i="1"/>
  <c r="D1544" i="1"/>
  <c r="E1543" i="1"/>
  <c r="D1543" i="1"/>
  <c r="E1542" i="1"/>
  <c r="D1542" i="1"/>
  <c r="E1541" i="1"/>
  <c r="D1541" i="1"/>
  <c r="E1540" i="1"/>
  <c r="D1540" i="1"/>
  <c r="E1539" i="1"/>
  <c r="D1539" i="1"/>
  <c r="E1538" i="1"/>
  <c r="D1538" i="1"/>
  <c r="E1537" i="1"/>
  <c r="D1537" i="1"/>
  <c r="E1536" i="1"/>
  <c r="D1536" i="1"/>
  <c r="E1535" i="1"/>
  <c r="D1535" i="1"/>
  <c r="E1534" i="1"/>
  <c r="D1534" i="1"/>
  <c r="E1533" i="1"/>
  <c r="D1533" i="1"/>
  <c r="E1532" i="1"/>
  <c r="D1532" i="1"/>
  <c r="E1531" i="1"/>
  <c r="D1531" i="1"/>
  <c r="E1530" i="1"/>
  <c r="D1530" i="1"/>
  <c r="E1529" i="1"/>
  <c r="D1529" i="1"/>
  <c r="E1528" i="1"/>
  <c r="D1528" i="1"/>
  <c r="E1527" i="1"/>
  <c r="D1527" i="1"/>
  <c r="E1526" i="1"/>
  <c r="D1526" i="1"/>
  <c r="E1525" i="1"/>
  <c r="D1525" i="1"/>
  <c r="E1524" i="1"/>
  <c r="D1524" i="1"/>
  <c r="E1523" i="1"/>
  <c r="D1523" i="1"/>
  <c r="E1522" i="1"/>
  <c r="D1522" i="1"/>
  <c r="E1521" i="1"/>
  <c r="D1521" i="1"/>
  <c r="E1520" i="1"/>
  <c r="D1520" i="1"/>
  <c r="E1519" i="1"/>
  <c r="D1519" i="1"/>
  <c r="E1518" i="1"/>
  <c r="D1518" i="1"/>
  <c r="E1517" i="1"/>
  <c r="D1517" i="1"/>
  <c r="E1516" i="1"/>
  <c r="D1516" i="1"/>
  <c r="E1515" i="1"/>
  <c r="D1515" i="1"/>
  <c r="E1514" i="1"/>
  <c r="D1514" i="1"/>
  <c r="E1513" i="1"/>
  <c r="D1513" i="1"/>
  <c r="E1512" i="1"/>
  <c r="D1512" i="1"/>
  <c r="E1511" i="1"/>
  <c r="D1511" i="1"/>
  <c r="E1510" i="1"/>
  <c r="D1510" i="1"/>
  <c r="E1509" i="1"/>
  <c r="D1509" i="1"/>
  <c r="E1508" i="1"/>
  <c r="D1508" i="1"/>
  <c r="E1507" i="1"/>
  <c r="D1507" i="1"/>
  <c r="E1506" i="1"/>
  <c r="D1506" i="1"/>
  <c r="E1505" i="1"/>
  <c r="D1505" i="1"/>
  <c r="E1504" i="1"/>
  <c r="D1504" i="1"/>
  <c r="E1503" i="1"/>
  <c r="E1502" i="1"/>
  <c r="E1501" i="1"/>
  <c r="D1501" i="1"/>
  <c r="E1500" i="1"/>
  <c r="E1499" i="1"/>
  <c r="E1498" i="1"/>
  <c r="E1497" i="1"/>
  <c r="E1496" i="1"/>
  <c r="E1495" i="1"/>
  <c r="E1494" i="1"/>
  <c r="E1493" i="1"/>
  <c r="E1492" i="1"/>
  <c r="E1491" i="1"/>
  <c r="E1490" i="1"/>
  <c r="E1489" i="1"/>
  <c r="E1488" i="1"/>
  <c r="E1487" i="1"/>
  <c r="E1486" i="1"/>
  <c r="E1485" i="1"/>
  <c r="E1484" i="1"/>
  <c r="E1483" i="1"/>
  <c r="E1482" i="1"/>
  <c r="E1481" i="1"/>
  <c r="E1480" i="1"/>
  <c r="E1479" i="1"/>
  <c r="E1478" i="1"/>
  <c r="E1477" i="1"/>
  <c r="E1476" i="1"/>
  <c r="E1475" i="1"/>
  <c r="E1474" i="1"/>
  <c r="E1473" i="1"/>
  <c r="E1472" i="1"/>
  <c r="E1471" i="1"/>
  <c r="E1470" i="1"/>
  <c r="E1469" i="1"/>
  <c r="E1468" i="1"/>
  <c r="D1468" i="1"/>
  <c r="E1467" i="1"/>
  <c r="D1467" i="1"/>
  <c r="E1466" i="1"/>
  <c r="D1466" i="1"/>
  <c r="E1465" i="1"/>
  <c r="D1465" i="1"/>
  <c r="E1464" i="1"/>
  <c r="D1464" i="1"/>
  <c r="E1463" i="1"/>
  <c r="D1463" i="1"/>
  <c r="E1462" i="1"/>
  <c r="D1462" i="1"/>
  <c r="E1461" i="1"/>
  <c r="D1461" i="1"/>
  <c r="E1460" i="1"/>
  <c r="D1460" i="1"/>
  <c r="E1459" i="1"/>
  <c r="D1459" i="1"/>
  <c r="E1458" i="1"/>
  <c r="D1458" i="1"/>
  <c r="E1457" i="1"/>
  <c r="D1457" i="1"/>
  <c r="E1456" i="1"/>
  <c r="D1456" i="1"/>
  <c r="E1455" i="1"/>
  <c r="D1455" i="1"/>
  <c r="E1454" i="1"/>
  <c r="D1454" i="1"/>
  <c r="E1453" i="1"/>
  <c r="D1453" i="1"/>
  <c r="E1452" i="1"/>
  <c r="D1452" i="1"/>
  <c r="E1451" i="1"/>
  <c r="D1451" i="1"/>
  <c r="E1450" i="1"/>
  <c r="D1450" i="1"/>
  <c r="E1449" i="1"/>
  <c r="D1449" i="1"/>
  <c r="E1448" i="1"/>
  <c r="D1448" i="1"/>
  <c r="E1447" i="1"/>
  <c r="D1447" i="1"/>
  <c r="E1446" i="1"/>
  <c r="D1446" i="1"/>
  <c r="E1445" i="1"/>
  <c r="D1445" i="1"/>
  <c r="E1444" i="1"/>
  <c r="D1444" i="1"/>
  <c r="E1443" i="1"/>
  <c r="D1443" i="1"/>
  <c r="E1442" i="1"/>
  <c r="D1442" i="1"/>
  <c r="E1441" i="1"/>
  <c r="D1441" i="1"/>
  <c r="E1440" i="1"/>
  <c r="D1440" i="1"/>
  <c r="E1439" i="1"/>
  <c r="D1439" i="1"/>
  <c r="E1438" i="1"/>
  <c r="D1438" i="1"/>
  <c r="E1437" i="1"/>
  <c r="D1437" i="1"/>
  <c r="E1436" i="1"/>
  <c r="D1436" i="1"/>
  <c r="E1435" i="1"/>
  <c r="D1435" i="1"/>
  <c r="E1434" i="1"/>
  <c r="D1434" i="1"/>
  <c r="E1433" i="1"/>
  <c r="D1433" i="1"/>
  <c r="E1432" i="1"/>
  <c r="D1432" i="1"/>
  <c r="E1431" i="1"/>
  <c r="D1431" i="1"/>
  <c r="E1430" i="1"/>
  <c r="D1430" i="1"/>
  <c r="E1429" i="1"/>
  <c r="D1429" i="1"/>
  <c r="E1428" i="1"/>
  <c r="D1428" i="1"/>
  <c r="E1427" i="1"/>
  <c r="D1427" i="1"/>
  <c r="E1426" i="1"/>
  <c r="D1426" i="1"/>
  <c r="E1425" i="1"/>
  <c r="D1425" i="1"/>
  <c r="E1424" i="1"/>
  <c r="D1424" i="1"/>
  <c r="E1423" i="1"/>
  <c r="D1423" i="1"/>
  <c r="E1422" i="1"/>
  <c r="D1422" i="1"/>
  <c r="E1421" i="1"/>
  <c r="D1421" i="1"/>
  <c r="E1420" i="1"/>
  <c r="D1420" i="1"/>
  <c r="E1419" i="1"/>
  <c r="D1419" i="1"/>
  <c r="E1418" i="1"/>
  <c r="D1418" i="1"/>
  <c r="E1417" i="1"/>
  <c r="D1417" i="1"/>
  <c r="E1416" i="1"/>
  <c r="D1416" i="1"/>
  <c r="E1415" i="1"/>
  <c r="D1415" i="1"/>
  <c r="E1414" i="1"/>
  <c r="D1414" i="1"/>
  <c r="E1413" i="1"/>
  <c r="D1413" i="1"/>
  <c r="E1412" i="1"/>
  <c r="D1412" i="1"/>
  <c r="E1411" i="1"/>
  <c r="D1411" i="1"/>
  <c r="E1410" i="1"/>
  <c r="D1410" i="1"/>
  <c r="E1409" i="1"/>
  <c r="D1409" i="1"/>
  <c r="E1408" i="1"/>
  <c r="D1408" i="1"/>
  <c r="E1407" i="1"/>
  <c r="D1407" i="1"/>
  <c r="E1406" i="1"/>
  <c r="D1406" i="1"/>
  <c r="E1405" i="1"/>
  <c r="D1405" i="1"/>
  <c r="E1404" i="1"/>
  <c r="E1403" i="1"/>
  <c r="D1403" i="1"/>
  <c r="E1402" i="1"/>
  <c r="D1402" i="1"/>
  <c r="E1401" i="1"/>
  <c r="D1401" i="1"/>
  <c r="E1400" i="1"/>
  <c r="D1400" i="1"/>
  <c r="E1399" i="1"/>
  <c r="D1399" i="1"/>
  <c r="E1398" i="1"/>
  <c r="D1398" i="1"/>
  <c r="E1397" i="1"/>
  <c r="D1397" i="1"/>
  <c r="E1396" i="1"/>
  <c r="D1396" i="1"/>
  <c r="E1395" i="1"/>
  <c r="D1395" i="1"/>
  <c r="E1394" i="1"/>
  <c r="D1394" i="1"/>
  <c r="E1393" i="1"/>
  <c r="D1393" i="1"/>
  <c r="E1392" i="1"/>
  <c r="D1392" i="1"/>
  <c r="E1391" i="1"/>
  <c r="D1391" i="1"/>
  <c r="E1390" i="1"/>
  <c r="D1390" i="1"/>
  <c r="E1389" i="1"/>
  <c r="D1389" i="1"/>
  <c r="E1388" i="1"/>
  <c r="D1388" i="1"/>
  <c r="E1387" i="1"/>
  <c r="D1387" i="1"/>
  <c r="E1386" i="1"/>
  <c r="D1386" i="1"/>
  <c r="E1385" i="1"/>
  <c r="D1385" i="1"/>
  <c r="E1384" i="1"/>
  <c r="D1384" i="1"/>
  <c r="E1383" i="1"/>
  <c r="D1383" i="1"/>
  <c r="E1382" i="1"/>
  <c r="D1382" i="1"/>
  <c r="E1381" i="1"/>
  <c r="D1381" i="1"/>
  <c r="E1380" i="1"/>
  <c r="D1380" i="1"/>
  <c r="E1379" i="1"/>
  <c r="D1379" i="1"/>
  <c r="E1378" i="1"/>
  <c r="D1378" i="1"/>
  <c r="E1377" i="1"/>
  <c r="D1377" i="1"/>
  <c r="E1376" i="1"/>
  <c r="D1376" i="1"/>
  <c r="E1375" i="1"/>
  <c r="D1375" i="1"/>
  <c r="E1374" i="1"/>
  <c r="D1374" i="1"/>
  <c r="E1373" i="1"/>
  <c r="D1373" i="1"/>
  <c r="E1372" i="1"/>
  <c r="D1372" i="1"/>
  <c r="E1371" i="1"/>
  <c r="D1371" i="1"/>
  <c r="E1370" i="1"/>
  <c r="D1370" i="1"/>
  <c r="E1369" i="1"/>
  <c r="D1369" i="1"/>
  <c r="E1368" i="1"/>
  <c r="D1368" i="1"/>
  <c r="E1367" i="1"/>
  <c r="D1367" i="1"/>
  <c r="E1366" i="1"/>
  <c r="D1366" i="1"/>
  <c r="E1365" i="1"/>
  <c r="D1365" i="1"/>
  <c r="E1364" i="1"/>
  <c r="D1364" i="1"/>
  <c r="E1363" i="1"/>
  <c r="D1363" i="1"/>
  <c r="E1362" i="1"/>
  <c r="D1362" i="1"/>
  <c r="E1361" i="1"/>
  <c r="D1361" i="1"/>
  <c r="E1360" i="1"/>
  <c r="D1360" i="1"/>
  <c r="E1359" i="1"/>
  <c r="D1359" i="1"/>
  <c r="E1358" i="1"/>
  <c r="D1358" i="1"/>
  <c r="E1357" i="1"/>
  <c r="D1357" i="1"/>
  <c r="E1356" i="1"/>
  <c r="D1356" i="1"/>
  <c r="E1355" i="1"/>
  <c r="D1355" i="1"/>
  <c r="E1354" i="1"/>
  <c r="D1354" i="1"/>
  <c r="E1353" i="1"/>
  <c r="D1353" i="1"/>
  <c r="E1352" i="1"/>
  <c r="D1352" i="1"/>
  <c r="E1351" i="1"/>
  <c r="D1351" i="1"/>
  <c r="E1350" i="1"/>
  <c r="D1350" i="1"/>
  <c r="E1349" i="1"/>
  <c r="D1349" i="1"/>
  <c r="E1348" i="1"/>
  <c r="D1348" i="1"/>
  <c r="E1347" i="1"/>
  <c r="D1347" i="1"/>
  <c r="E1346" i="1"/>
  <c r="D1346" i="1"/>
  <c r="E1345" i="1"/>
  <c r="D1345" i="1"/>
  <c r="E1344" i="1"/>
  <c r="D1344" i="1"/>
  <c r="E1343" i="1"/>
  <c r="D1343" i="1"/>
  <c r="E1342" i="1"/>
  <c r="D1342" i="1"/>
  <c r="E1341" i="1"/>
  <c r="D1341" i="1"/>
  <c r="E1340" i="1"/>
  <c r="D1340" i="1"/>
  <c r="E1339" i="1"/>
  <c r="D1339" i="1"/>
  <c r="E1338" i="1"/>
  <c r="D1338" i="1"/>
  <c r="E1337" i="1"/>
  <c r="D1337" i="1"/>
  <c r="E1336" i="1"/>
  <c r="D1336" i="1"/>
  <c r="E1335" i="1"/>
  <c r="D1335" i="1"/>
  <c r="E1334" i="1"/>
  <c r="D1334" i="1"/>
  <c r="E1333" i="1"/>
  <c r="D1333" i="1"/>
  <c r="E1332" i="1"/>
  <c r="D1332" i="1"/>
  <c r="E1331" i="1"/>
  <c r="D1331" i="1"/>
  <c r="E1330" i="1"/>
  <c r="D1330" i="1"/>
  <c r="E1329" i="1"/>
  <c r="D1329" i="1"/>
  <c r="E1328" i="1"/>
  <c r="D1328" i="1"/>
  <c r="E1327" i="1"/>
  <c r="D1327" i="1"/>
  <c r="E1326" i="1"/>
  <c r="D1326" i="1"/>
  <c r="E1325" i="1"/>
  <c r="D1325" i="1"/>
  <c r="E1324" i="1"/>
  <c r="D1324" i="1"/>
  <c r="E1323" i="1"/>
  <c r="D1323" i="1"/>
  <c r="E1322" i="1"/>
  <c r="D1322" i="1"/>
  <c r="E1321" i="1"/>
  <c r="D1321" i="1"/>
  <c r="E1320" i="1"/>
  <c r="D1320" i="1"/>
  <c r="E1319" i="1"/>
  <c r="D1319" i="1"/>
  <c r="E1318" i="1"/>
  <c r="D1318" i="1"/>
  <c r="E1317" i="1"/>
  <c r="D1317" i="1"/>
  <c r="E1316" i="1"/>
  <c r="D1316" i="1"/>
  <c r="E1315" i="1"/>
  <c r="D1315" i="1"/>
  <c r="E1314" i="1"/>
  <c r="D1314" i="1"/>
  <c r="E1313" i="1"/>
  <c r="D1313" i="1"/>
  <c r="E1312" i="1"/>
  <c r="D1312" i="1"/>
  <c r="E1311" i="1"/>
  <c r="D1311" i="1"/>
  <c r="E1310" i="1"/>
  <c r="D1310" i="1"/>
  <c r="E1309" i="1"/>
  <c r="D1309" i="1"/>
  <c r="E1308" i="1"/>
  <c r="D1308" i="1"/>
  <c r="E1307" i="1"/>
  <c r="D1307" i="1"/>
  <c r="E1306" i="1"/>
  <c r="D1306" i="1"/>
  <c r="E1305" i="1"/>
  <c r="D1305" i="1"/>
  <c r="E1304" i="1"/>
  <c r="D1304" i="1"/>
  <c r="E1303" i="1"/>
  <c r="D1303" i="1"/>
  <c r="E1302" i="1"/>
  <c r="D1302" i="1"/>
  <c r="E1301" i="1"/>
  <c r="D1301" i="1"/>
  <c r="E1300" i="1"/>
  <c r="D1300" i="1"/>
  <c r="E1299" i="1"/>
  <c r="D1299" i="1"/>
  <c r="E1298" i="1"/>
  <c r="D1298" i="1"/>
  <c r="E1297" i="1"/>
  <c r="D1297" i="1"/>
  <c r="E1296" i="1"/>
  <c r="D1296" i="1"/>
  <c r="E1295" i="1"/>
  <c r="D1295" i="1"/>
  <c r="E1294" i="1"/>
  <c r="D1294" i="1"/>
  <c r="E1293" i="1"/>
  <c r="D1293" i="1"/>
  <c r="E1292" i="1"/>
  <c r="D1292" i="1"/>
  <c r="E1291" i="1"/>
  <c r="D1291" i="1"/>
  <c r="E1290" i="1"/>
  <c r="D1290" i="1"/>
  <c r="E1289" i="1"/>
  <c r="D1289" i="1"/>
  <c r="E1288" i="1"/>
  <c r="D1288" i="1"/>
  <c r="E1287" i="1"/>
  <c r="D1287" i="1"/>
  <c r="E1286" i="1"/>
  <c r="D1286" i="1"/>
  <c r="E1285" i="1"/>
  <c r="D1285" i="1"/>
  <c r="E1284" i="1"/>
  <c r="D1284" i="1"/>
  <c r="E1283" i="1"/>
  <c r="D1283" i="1"/>
  <c r="E1282" i="1"/>
  <c r="D1282" i="1"/>
  <c r="E1281" i="1"/>
  <c r="D1281" i="1"/>
  <c r="E1280" i="1"/>
  <c r="D1280" i="1"/>
  <c r="E1279" i="1"/>
  <c r="D1279" i="1"/>
  <c r="E1278" i="1"/>
  <c r="D1278" i="1"/>
  <c r="E1277" i="1"/>
  <c r="D1277" i="1"/>
  <c r="E1276" i="1"/>
  <c r="D1276" i="1"/>
  <c r="E1275" i="1"/>
  <c r="D1275" i="1"/>
  <c r="E1274" i="1"/>
  <c r="D1274" i="1"/>
  <c r="E1273" i="1"/>
  <c r="D1273" i="1"/>
  <c r="E1272" i="1"/>
  <c r="D1272" i="1"/>
  <c r="E1271" i="1"/>
  <c r="D1271" i="1"/>
  <c r="E1270" i="1"/>
  <c r="D1270" i="1"/>
  <c r="E1269" i="1"/>
  <c r="D1269" i="1"/>
  <c r="E1268" i="1"/>
  <c r="D1268" i="1"/>
  <c r="E1267" i="1"/>
  <c r="D1267" i="1"/>
  <c r="E1266" i="1"/>
  <c r="D1266" i="1"/>
  <c r="E1265" i="1"/>
  <c r="D1265" i="1"/>
  <c r="E1264" i="1"/>
  <c r="D1264" i="1"/>
  <c r="E1263" i="1"/>
  <c r="D1263" i="1"/>
  <c r="E1262" i="1"/>
  <c r="D1262" i="1"/>
  <c r="E1261" i="1"/>
  <c r="D1261" i="1"/>
  <c r="E1260" i="1"/>
  <c r="D1260" i="1"/>
  <c r="E1259" i="1"/>
  <c r="D1259" i="1"/>
  <c r="E1258" i="1"/>
  <c r="D1258" i="1"/>
  <c r="E1257" i="1"/>
  <c r="D1257" i="1"/>
  <c r="E1256" i="1"/>
  <c r="D1256" i="1"/>
  <c r="E1255" i="1"/>
  <c r="D1255" i="1"/>
  <c r="E1254" i="1"/>
  <c r="D1254" i="1"/>
  <c r="E1253" i="1"/>
  <c r="D1253" i="1"/>
  <c r="E1252" i="1"/>
  <c r="D1252" i="1"/>
  <c r="E1251" i="1"/>
  <c r="D1251" i="1"/>
  <c r="E1250" i="1"/>
  <c r="D1250" i="1"/>
  <c r="E1249" i="1"/>
  <c r="D1249" i="1"/>
  <c r="E1248" i="1"/>
  <c r="D1248" i="1"/>
  <c r="E1247" i="1"/>
  <c r="D1247" i="1"/>
  <c r="E1246" i="1"/>
  <c r="D1246" i="1"/>
  <c r="E1245" i="1"/>
  <c r="D1245" i="1"/>
  <c r="E1244" i="1"/>
  <c r="D1244" i="1"/>
  <c r="E1243" i="1"/>
  <c r="D1243" i="1"/>
  <c r="E1242" i="1"/>
  <c r="D1242" i="1"/>
  <c r="E1241" i="1"/>
  <c r="D1241" i="1"/>
  <c r="E1240" i="1"/>
  <c r="D1240" i="1"/>
  <c r="E1239" i="1"/>
  <c r="D1239" i="1"/>
  <c r="E1238" i="1"/>
  <c r="D1238" i="1"/>
  <c r="E1237" i="1"/>
  <c r="D1237" i="1"/>
  <c r="E1236" i="1"/>
  <c r="D1236" i="1"/>
  <c r="E1235" i="1"/>
  <c r="D1235" i="1"/>
  <c r="E1234" i="1"/>
  <c r="D1234" i="1"/>
  <c r="E1233" i="1"/>
  <c r="D1233" i="1"/>
  <c r="E1232" i="1"/>
  <c r="D1232" i="1"/>
  <c r="E1231" i="1"/>
  <c r="D1231" i="1"/>
  <c r="E1230" i="1"/>
  <c r="D1230" i="1"/>
  <c r="E1229" i="1"/>
  <c r="D1229" i="1"/>
  <c r="E1228" i="1"/>
  <c r="D1228" i="1"/>
  <c r="E1227" i="1"/>
  <c r="D1227" i="1"/>
  <c r="E1226" i="1"/>
  <c r="D1226" i="1"/>
  <c r="E1225" i="1"/>
  <c r="D1225" i="1"/>
  <c r="E1224" i="1"/>
  <c r="D1224" i="1"/>
  <c r="E1223" i="1"/>
  <c r="D1223" i="1"/>
  <c r="E1222" i="1"/>
  <c r="D1222" i="1"/>
  <c r="E1221" i="1"/>
  <c r="D1221" i="1"/>
  <c r="E1220" i="1"/>
  <c r="D1220" i="1"/>
  <c r="E1219" i="1"/>
  <c r="D1219" i="1"/>
  <c r="E1218" i="1"/>
  <c r="D1218" i="1"/>
  <c r="E1217" i="1"/>
  <c r="D1217" i="1"/>
  <c r="E1216" i="1"/>
  <c r="D1216" i="1"/>
  <c r="E1215" i="1"/>
  <c r="D1215" i="1"/>
  <c r="E1214" i="1"/>
  <c r="D1214" i="1"/>
  <c r="E1213" i="1"/>
  <c r="D1213" i="1"/>
  <c r="E1212" i="1"/>
  <c r="D1212" i="1"/>
  <c r="E1211" i="1"/>
  <c r="D1211" i="1"/>
  <c r="E1210" i="1"/>
  <c r="D1210" i="1"/>
  <c r="E1209" i="1"/>
  <c r="D1209" i="1"/>
  <c r="E1208" i="1"/>
  <c r="D1208" i="1"/>
  <c r="E1207" i="1"/>
  <c r="D1207" i="1"/>
  <c r="E1206" i="1"/>
  <c r="D1206" i="1"/>
  <c r="E1205" i="1"/>
  <c r="D1205" i="1"/>
  <c r="E1204" i="1"/>
  <c r="D1204" i="1"/>
  <c r="E1203" i="1"/>
  <c r="D1203" i="1"/>
  <c r="E1202" i="1"/>
  <c r="D1202" i="1"/>
  <c r="E1201" i="1"/>
  <c r="D1201" i="1"/>
  <c r="E1200" i="1"/>
  <c r="D1200" i="1"/>
  <c r="E1199" i="1"/>
  <c r="D1199" i="1"/>
  <c r="E1198" i="1"/>
  <c r="D1198" i="1"/>
  <c r="E1197" i="1"/>
  <c r="D1197" i="1"/>
  <c r="E1196" i="1"/>
  <c r="D1196" i="1"/>
  <c r="E1195" i="1"/>
  <c r="D1195" i="1"/>
  <c r="E1194" i="1"/>
  <c r="D1194" i="1"/>
  <c r="E1193" i="1"/>
  <c r="D1193" i="1"/>
  <c r="E1192" i="1"/>
  <c r="D1192" i="1"/>
  <c r="E1191" i="1"/>
  <c r="D1191" i="1"/>
  <c r="E1190" i="1"/>
  <c r="D1190" i="1"/>
  <c r="E1189" i="1"/>
  <c r="D1189" i="1"/>
  <c r="E1188" i="1"/>
  <c r="D1188" i="1"/>
  <c r="E1187" i="1"/>
  <c r="D1187" i="1"/>
  <c r="E1186" i="1"/>
  <c r="D1186" i="1"/>
  <c r="E1185" i="1"/>
  <c r="D1185" i="1"/>
  <c r="E1184" i="1"/>
  <c r="D1184" i="1"/>
  <c r="E1183" i="1"/>
  <c r="D1183" i="1"/>
  <c r="E1182" i="1"/>
  <c r="D1182" i="1"/>
  <c r="E1181" i="1"/>
  <c r="D1181" i="1"/>
  <c r="E1180" i="1"/>
  <c r="D1180" i="1"/>
  <c r="E1179" i="1"/>
  <c r="D1179" i="1"/>
  <c r="E1178" i="1"/>
  <c r="D1178" i="1"/>
  <c r="E1177" i="1"/>
  <c r="D1177" i="1"/>
  <c r="E1176" i="1"/>
  <c r="D1176" i="1"/>
  <c r="E1175" i="1"/>
  <c r="D1175" i="1"/>
  <c r="E1174" i="1"/>
  <c r="D1174" i="1"/>
  <c r="E1173" i="1"/>
  <c r="D1173" i="1"/>
  <c r="E1172" i="1"/>
  <c r="D1172" i="1"/>
  <c r="E1171" i="1"/>
  <c r="D1171" i="1"/>
  <c r="E1170" i="1"/>
  <c r="D1170" i="1"/>
  <c r="E1169" i="1"/>
  <c r="D1169" i="1"/>
  <c r="E1168" i="1"/>
  <c r="D1168" i="1"/>
  <c r="E1167" i="1"/>
  <c r="D1167" i="1"/>
  <c r="E1166" i="1"/>
  <c r="D1166" i="1"/>
  <c r="E1165" i="1"/>
  <c r="D1165" i="1"/>
  <c r="E1164" i="1"/>
  <c r="D1164" i="1"/>
  <c r="E1163" i="1"/>
  <c r="D1163" i="1"/>
  <c r="E1162" i="1"/>
  <c r="D1162" i="1"/>
  <c r="E1161" i="1"/>
  <c r="D1161" i="1"/>
  <c r="E1160" i="1"/>
  <c r="D1160" i="1"/>
  <c r="E1159" i="1"/>
  <c r="D1159" i="1"/>
  <c r="E1158" i="1"/>
  <c r="D1158" i="1"/>
  <c r="E1157" i="1"/>
  <c r="D1157" i="1"/>
  <c r="E1156" i="1"/>
  <c r="D1156" i="1"/>
  <c r="E1155" i="1"/>
  <c r="D1155" i="1"/>
  <c r="E1154" i="1"/>
  <c r="D1154" i="1"/>
  <c r="E1153" i="1"/>
  <c r="D1153" i="1"/>
  <c r="E1152" i="1"/>
  <c r="D1152" i="1"/>
  <c r="E1151" i="1"/>
  <c r="D1151" i="1"/>
  <c r="E1150" i="1"/>
  <c r="D1150" i="1"/>
  <c r="E1149" i="1"/>
  <c r="D1149" i="1"/>
  <c r="E1148" i="1"/>
  <c r="D1148" i="1"/>
  <c r="E1147" i="1"/>
  <c r="D1147" i="1"/>
  <c r="E1146" i="1"/>
  <c r="D1146" i="1"/>
  <c r="E1145" i="1"/>
  <c r="D1145" i="1"/>
  <c r="E1144" i="1"/>
  <c r="D1144" i="1"/>
  <c r="E1143" i="1"/>
  <c r="D1143" i="1"/>
  <c r="E1142" i="1"/>
  <c r="D1142" i="1"/>
  <c r="E1141" i="1"/>
  <c r="D1141" i="1"/>
  <c r="E1140" i="1"/>
  <c r="D1140" i="1"/>
  <c r="E1139" i="1"/>
  <c r="D1139" i="1"/>
  <c r="E1138" i="1"/>
  <c r="D1138" i="1"/>
  <c r="E1137" i="1"/>
  <c r="D1137" i="1"/>
  <c r="E1136" i="1"/>
  <c r="D1136" i="1"/>
  <c r="E1135" i="1"/>
  <c r="D1135" i="1"/>
  <c r="E1134" i="1"/>
  <c r="D1134" i="1"/>
  <c r="E1133" i="1"/>
  <c r="D1133" i="1"/>
  <c r="E1132" i="1"/>
  <c r="D1132" i="1"/>
  <c r="E1131" i="1"/>
  <c r="D1131" i="1"/>
  <c r="E1130" i="1"/>
  <c r="D1130" i="1"/>
  <c r="E1129" i="1"/>
  <c r="D1129" i="1"/>
  <c r="E1128" i="1"/>
  <c r="D1128" i="1"/>
  <c r="E1127" i="1"/>
  <c r="D1127" i="1"/>
  <c r="E1126" i="1"/>
  <c r="D1126" i="1"/>
  <c r="E1125" i="1"/>
  <c r="D1125" i="1"/>
  <c r="E1124" i="1"/>
  <c r="D1124" i="1"/>
  <c r="E1123" i="1"/>
  <c r="D1123" i="1"/>
  <c r="E1122" i="1"/>
  <c r="D1122" i="1"/>
  <c r="E1121" i="1"/>
  <c r="D1121" i="1"/>
  <c r="E1120" i="1"/>
  <c r="D1120" i="1"/>
  <c r="E1119" i="1"/>
  <c r="D1119" i="1"/>
  <c r="E1118" i="1"/>
  <c r="D1118" i="1"/>
  <c r="E1117" i="1"/>
  <c r="D1117" i="1"/>
  <c r="E1116" i="1"/>
  <c r="D1116" i="1"/>
  <c r="E1115" i="1"/>
  <c r="D1115" i="1"/>
  <c r="E1114" i="1"/>
  <c r="D1114" i="1"/>
  <c r="E1113" i="1"/>
  <c r="D1113" i="1"/>
  <c r="E1112" i="1"/>
  <c r="D1112" i="1"/>
  <c r="E1111" i="1"/>
  <c r="D1111" i="1"/>
  <c r="E1110" i="1"/>
  <c r="D1110" i="1"/>
  <c r="E1109" i="1"/>
  <c r="D1109" i="1"/>
  <c r="E1108" i="1"/>
  <c r="D1108" i="1"/>
  <c r="E1107" i="1"/>
  <c r="D1107" i="1"/>
  <c r="E1106" i="1"/>
  <c r="D1106" i="1"/>
  <c r="E1105" i="1"/>
  <c r="D1105" i="1"/>
  <c r="E1104" i="1"/>
  <c r="D1104" i="1"/>
  <c r="E1103" i="1"/>
  <c r="D1103" i="1"/>
  <c r="E1102" i="1"/>
  <c r="D1102" i="1"/>
  <c r="E1101" i="1"/>
  <c r="D1101" i="1"/>
  <c r="E1100" i="1"/>
  <c r="D1100" i="1"/>
  <c r="E1099" i="1"/>
  <c r="D1099" i="1"/>
  <c r="E1098" i="1"/>
  <c r="D1098" i="1"/>
  <c r="E1097" i="1"/>
  <c r="D1097" i="1"/>
  <c r="E1096" i="1"/>
  <c r="D1096" i="1"/>
  <c r="E1095" i="1"/>
  <c r="D1095" i="1"/>
  <c r="E1094" i="1"/>
  <c r="D1094" i="1"/>
  <c r="E1093" i="1"/>
  <c r="D1093" i="1"/>
  <c r="E1092" i="1"/>
  <c r="D1092" i="1"/>
  <c r="E1091" i="1"/>
  <c r="D1091" i="1"/>
  <c r="E1090" i="1"/>
  <c r="D1090" i="1"/>
  <c r="E1089" i="1"/>
  <c r="D1089" i="1"/>
  <c r="E1088" i="1"/>
  <c r="D1088" i="1"/>
  <c r="E1087" i="1"/>
  <c r="D1087" i="1"/>
  <c r="E1086" i="1"/>
  <c r="D1086" i="1"/>
  <c r="E1085" i="1"/>
  <c r="D1085" i="1"/>
  <c r="E1084" i="1"/>
  <c r="D1084" i="1"/>
  <c r="E1083" i="1"/>
  <c r="D1083" i="1"/>
  <c r="E1082" i="1"/>
  <c r="D1082" i="1"/>
  <c r="E1081" i="1"/>
  <c r="D1081" i="1"/>
  <c r="E1080" i="1"/>
  <c r="D1080" i="1"/>
  <c r="E1079" i="1"/>
  <c r="D1079" i="1"/>
  <c r="E1078" i="1"/>
  <c r="D1078" i="1"/>
  <c r="E1077" i="1"/>
  <c r="D1077" i="1"/>
  <c r="E1076" i="1"/>
  <c r="D1076" i="1"/>
  <c r="E1075" i="1"/>
  <c r="D1075" i="1"/>
  <c r="E1074" i="1"/>
  <c r="D1074" i="1"/>
  <c r="E1073" i="1"/>
  <c r="D1073" i="1"/>
  <c r="E1072" i="1"/>
  <c r="D1072" i="1"/>
  <c r="E1071" i="1"/>
  <c r="D1071" i="1"/>
  <c r="E1070" i="1"/>
  <c r="D1070" i="1"/>
  <c r="E1069" i="1"/>
  <c r="D1069" i="1"/>
  <c r="E1068" i="1"/>
  <c r="D1068" i="1"/>
  <c r="E1067" i="1"/>
  <c r="D1067" i="1"/>
  <c r="E1066" i="1"/>
  <c r="D1066" i="1"/>
  <c r="E1065" i="1"/>
  <c r="D1065" i="1"/>
  <c r="E1064" i="1"/>
  <c r="D1064" i="1"/>
  <c r="E1063" i="1"/>
  <c r="D1063" i="1"/>
  <c r="E1062" i="1"/>
  <c r="D1062" i="1"/>
  <c r="E1061" i="1"/>
  <c r="D1061" i="1"/>
  <c r="E1060" i="1"/>
  <c r="D1060" i="1"/>
  <c r="E1059" i="1"/>
  <c r="D1059" i="1"/>
  <c r="E1058" i="1"/>
  <c r="D1058" i="1"/>
  <c r="E1057" i="1"/>
  <c r="D1057" i="1"/>
  <c r="E1056" i="1"/>
  <c r="D1056" i="1"/>
  <c r="E1055" i="1"/>
  <c r="D1055" i="1"/>
  <c r="E1054" i="1"/>
  <c r="D1054" i="1"/>
  <c r="E1053" i="1"/>
  <c r="D1053" i="1"/>
  <c r="E1052" i="1"/>
  <c r="D1052" i="1"/>
  <c r="E1051" i="1"/>
  <c r="D1051" i="1"/>
  <c r="E1050" i="1"/>
  <c r="D1050" i="1"/>
  <c r="E1049" i="1"/>
  <c r="D1049" i="1"/>
  <c r="E1048" i="1"/>
  <c r="D1048" i="1"/>
  <c r="E1047" i="1"/>
  <c r="D1047" i="1"/>
  <c r="E1046" i="1"/>
  <c r="D1046" i="1"/>
  <c r="E1045" i="1"/>
  <c r="D1045" i="1"/>
  <c r="E1044" i="1"/>
  <c r="D1044" i="1"/>
  <c r="E1043" i="1"/>
  <c r="D1043" i="1"/>
  <c r="E1042" i="1"/>
  <c r="D1042" i="1"/>
  <c r="E1041" i="1"/>
  <c r="D1041" i="1"/>
  <c r="E1040" i="1"/>
  <c r="D1040" i="1"/>
  <c r="E1039" i="1"/>
  <c r="D1039" i="1"/>
  <c r="E1038" i="1"/>
  <c r="D1038" i="1"/>
  <c r="E1037" i="1"/>
  <c r="D1037" i="1"/>
  <c r="E1036" i="1"/>
  <c r="D1036" i="1"/>
  <c r="E1035" i="1"/>
  <c r="D1035" i="1"/>
  <c r="E1034" i="1"/>
  <c r="D1034" i="1"/>
  <c r="E1033" i="1"/>
  <c r="D1033" i="1"/>
  <c r="E1032" i="1"/>
  <c r="D1032" i="1"/>
  <c r="E1031" i="1"/>
  <c r="D1031" i="1"/>
  <c r="E1030" i="1"/>
  <c r="D1030" i="1"/>
  <c r="E1029" i="1"/>
  <c r="D1029" i="1"/>
  <c r="E1028" i="1"/>
  <c r="D1028" i="1"/>
  <c r="E1027" i="1"/>
  <c r="E1026" i="1"/>
  <c r="E1025" i="1"/>
  <c r="E1024" i="1"/>
  <c r="E1023" i="1"/>
  <c r="E1022" i="1"/>
  <c r="E1021" i="1"/>
  <c r="E1020" i="1"/>
  <c r="E1019" i="1"/>
  <c r="E1018" i="1"/>
  <c r="D1018" i="1"/>
  <c r="E1017" i="1"/>
  <c r="D1017" i="1"/>
  <c r="E1016" i="1"/>
  <c r="E1015" i="1"/>
  <c r="E1014" i="1"/>
  <c r="D1014" i="1"/>
  <c r="E1013" i="1"/>
  <c r="E1012" i="1"/>
  <c r="E1011" i="1"/>
  <c r="E1010" i="1"/>
  <c r="D1010" i="1"/>
  <c r="E1009" i="1"/>
  <c r="D1009" i="1"/>
  <c r="E1008" i="1"/>
  <c r="E1007" i="1"/>
  <c r="D1007" i="1"/>
  <c r="E1006" i="1"/>
  <c r="E1005" i="1"/>
  <c r="D1005" i="1"/>
  <c r="E1004" i="1"/>
  <c r="E1003" i="1"/>
  <c r="E1002" i="1"/>
  <c r="E1001" i="1"/>
  <c r="D1001" i="1"/>
  <c r="E1000" i="1"/>
  <c r="E999" i="1"/>
  <c r="E998" i="1"/>
  <c r="D998" i="1"/>
  <c r="E997" i="1"/>
  <c r="E996" i="1"/>
  <c r="E995" i="1"/>
  <c r="E994" i="1"/>
  <c r="D994" i="1"/>
  <c r="E993" i="1"/>
  <c r="E992" i="1"/>
  <c r="D992" i="1"/>
  <c r="E991" i="1"/>
  <c r="E990" i="1"/>
  <c r="D990" i="1"/>
  <c r="E989" i="1"/>
  <c r="E988" i="1"/>
  <c r="E987" i="1"/>
  <c r="E986" i="1"/>
  <c r="D986" i="1"/>
  <c r="E985" i="1"/>
  <c r="D985" i="1"/>
  <c r="E984" i="1"/>
  <c r="D984" i="1"/>
  <c r="E983" i="1"/>
  <c r="D983" i="1"/>
  <c r="E982" i="1"/>
  <c r="D982" i="1"/>
  <c r="E981" i="1"/>
  <c r="D981" i="1"/>
  <c r="E980" i="1"/>
  <c r="D980" i="1"/>
  <c r="E979" i="1"/>
  <c r="D979" i="1"/>
  <c r="E978" i="1"/>
  <c r="D978" i="1"/>
  <c r="E977" i="1"/>
  <c r="D977" i="1"/>
  <c r="E976" i="1"/>
  <c r="D976" i="1"/>
  <c r="E975" i="1"/>
  <c r="D975" i="1"/>
  <c r="E974" i="1"/>
  <c r="D974" i="1"/>
  <c r="E973" i="1"/>
  <c r="D973" i="1"/>
  <c r="E972" i="1"/>
  <c r="D972" i="1"/>
  <c r="E971" i="1"/>
  <c r="D971" i="1"/>
  <c r="E970" i="1"/>
  <c r="D970" i="1"/>
  <c r="E969" i="1"/>
  <c r="D969" i="1"/>
  <c r="E968" i="1"/>
  <c r="D968" i="1"/>
  <c r="E967" i="1"/>
  <c r="D967" i="1"/>
  <c r="E966" i="1"/>
  <c r="D966" i="1"/>
  <c r="E965" i="1"/>
  <c r="D965" i="1"/>
  <c r="E964" i="1"/>
  <c r="D964" i="1"/>
  <c r="E963" i="1"/>
  <c r="D963" i="1"/>
  <c r="E962" i="1"/>
  <c r="D962" i="1"/>
  <c r="E961" i="1"/>
  <c r="D961" i="1"/>
  <c r="E960" i="1"/>
  <c r="D960" i="1"/>
  <c r="E959" i="1"/>
  <c r="D959" i="1"/>
  <c r="E958" i="1"/>
  <c r="D958" i="1"/>
  <c r="E957" i="1"/>
  <c r="D957" i="1"/>
  <c r="E956" i="1"/>
  <c r="D956" i="1"/>
  <c r="E955" i="1"/>
  <c r="D955" i="1"/>
  <c r="E954" i="1"/>
  <c r="D954" i="1"/>
  <c r="E953" i="1"/>
  <c r="D953" i="1"/>
  <c r="E952" i="1"/>
  <c r="D952" i="1"/>
  <c r="E951" i="1"/>
  <c r="D951" i="1"/>
  <c r="E950" i="1"/>
  <c r="D950" i="1"/>
  <c r="E949" i="1"/>
  <c r="D949" i="1"/>
  <c r="E948" i="1"/>
  <c r="D948" i="1"/>
  <c r="E947" i="1"/>
  <c r="D947" i="1"/>
  <c r="E946" i="1"/>
  <c r="D946" i="1"/>
  <c r="E945" i="1"/>
  <c r="D945" i="1"/>
  <c r="E944" i="1"/>
  <c r="D944" i="1"/>
  <c r="E943" i="1"/>
  <c r="D943" i="1"/>
  <c r="E942" i="1"/>
  <c r="D942" i="1"/>
  <c r="E941" i="1"/>
  <c r="D941" i="1"/>
  <c r="E940" i="1"/>
  <c r="D940" i="1"/>
  <c r="E939" i="1"/>
  <c r="D939" i="1"/>
  <c r="E938" i="1"/>
  <c r="E937" i="1"/>
  <c r="D937" i="1"/>
  <c r="E936" i="1"/>
  <c r="D936" i="1"/>
  <c r="E935" i="1"/>
  <c r="D935" i="1"/>
  <c r="E934" i="1"/>
  <c r="D934" i="1"/>
  <c r="E933" i="1"/>
  <c r="D933" i="1"/>
  <c r="E932" i="1"/>
  <c r="E931" i="1"/>
  <c r="E930" i="1"/>
  <c r="E929" i="1"/>
  <c r="D929" i="1"/>
  <c r="E928" i="1"/>
  <c r="D928" i="1"/>
  <c r="E927" i="1"/>
  <c r="D927" i="1"/>
  <c r="E926" i="1"/>
  <c r="D926" i="1"/>
  <c r="E925" i="1"/>
  <c r="D925" i="1"/>
  <c r="E924" i="1"/>
  <c r="D924" i="1"/>
  <c r="E923" i="1"/>
  <c r="D923" i="1"/>
  <c r="E922" i="1"/>
  <c r="D922" i="1"/>
  <c r="E921" i="1"/>
  <c r="D921" i="1"/>
  <c r="E920" i="1"/>
  <c r="D920" i="1"/>
  <c r="E919" i="1"/>
  <c r="D919" i="1"/>
  <c r="E918" i="1"/>
  <c r="D918" i="1"/>
  <c r="E917" i="1"/>
  <c r="D917" i="1"/>
  <c r="E916" i="1"/>
  <c r="D916" i="1"/>
  <c r="E915" i="1"/>
  <c r="D915" i="1"/>
  <c r="E914" i="1"/>
  <c r="D914" i="1"/>
  <c r="E913" i="1"/>
  <c r="D913" i="1"/>
  <c r="E912" i="1"/>
  <c r="D912" i="1"/>
  <c r="E911" i="1"/>
  <c r="D911" i="1"/>
  <c r="E910" i="1"/>
  <c r="D910" i="1"/>
  <c r="E909" i="1"/>
  <c r="D909" i="1"/>
  <c r="E908" i="1"/>
  <c r="D908" i="1"/>
  <c r="E907" i="1"/>
  <c r="D907" i="1"/>
  <c r="E906" i="1"/>
  <c r="D906" i="1"/>
  <c r="E905" i="1"/>
  <c r="D905" i="1"/>
  <c r="E904" i="1"/>
  <c r="D904" i="1"/>
  <c r="E903" i="1"/>
  <c r="D903" i="1"/>
  <c r="E902" i="1"/>
  <c r="D902" i="1"/>
  <c r="E901" i="1"/>
  <c r="D901" i="1"/>
  <c r="E900" i="1"/>
  <c r="D900" i="1"/>
  <c r="E899" i="1"/>
  <c r="D899" i="1"/>
  <c r="E898" i="1"/>
  <c r="D898" i="1"/>
  <c r="E897" i="1"/>
  <c r="D897" i="1"/>
  <c r="E896" i="1"/>
  <c r="D896" i="1"/>
  <c r="E895" i="1"/>
  <c r="D895" i="1"/>
  <c r="E894" i="1"/>
  <c r="D894" i="1"/>
  <c r="E893" i="1"/>
  <c r="D893" i="1"/>
  <c r="E892" i="1"/>
  <c r="D892" i="1"/>
  <c r="E891" i="1"/>
  <c r="D891" i="1"/>
  <c r="E890" i="1"/>
  <c r="D890" i="1"/>
  <c r="E889" i="1"/>
  <c r="D889" i="1"/>
  <c r="E888" i="1"/>
  <c r="D888" i="1"/>
  <c r="E887" i="1"/>
  <c r="D887" i="1"/>
  <c r="E886" i="1"/>
  <c r="D886" i="1"/>
  <c r="E885" i="1"/>
  <c r="D885" i="1"/>
  <c r="E884" i="1"/>
  <c r="D884" i="1"/>
  <c r="E883" i="1"/>
  <c r="D883" i="1"/>
  <c r="E882" i="1"/>
  <c r="D882" i="1"/>
  <c r="E881" i="1"/>
  <c r="D881" i="1"/>
  <c r="E880" i="1"/>
  <c r="D880" i="1"/>
  <c r="E879" i="1"/>
  <c r="D879" i="1"/>
  <c r="E878" i="1"/>
  <c r="D878" i="1"/>
  <c r="E877" i="1"/>
  <c r="D877" i="1"/>
  <c r="E876" i="1"/>
  <c r="D876" i="1"/>
  <c r="E875" i="1"/>
  <c r="D875" i="1"/>
  <c r="E874" i="1"/>
  <c r="D874" i="1"/>
  <c r="E873" i="1"/>
  <c r="D873" i="1"/>
  <c r="E872" i="1"/>
  <c r="D872" i="1"/>
  <c r="E871" i="1"/>
  <c r="D871" i="1"/>
  <c r="E870" i="1"/>
  <c r="D870" i="1"/>
  <c r="E869" i="1"/>
  <c r="D869" i="1"/>
  <c r="E868" i="1"/>
  <c r="D868" i="1"/>
  <c r="E867" i="1"/>
  <c r="D867" i="1"/>
  <c r="E866" i="1"/>
  <c r="D866" i="1"/>
  <c r="E865" i="1"/>
  <c r="D865" i="1"/>
  <c r="E864" i="1"/>
  <c r="D864" i="1"/>
  <c r="E863" i="1"/>
  <c r="D863" i="1"/>
  <c r="E862" i="1"/>
  <c r="D862" i="1"/>
  <c r="E861" i="1"/>
  <c r="D861" i="1"/>
  <c r="E860" i="1"/>
  <c r="D860" i="1"/>
  <c r="E859" i="1"/>
  <c r="D859" i="1"/>
  <c r="E858" i="1"/>
  <c r="D858" i="1"/>
  <c r="E857" i="1"/>
  <c r="D857" i="1"/>
  <c r="E856" i="1"/>
  <c r="D856" i="1"/>
  <c r="E855" i="1"/>
  <c r="D855" i="1"/>
  <c r="E854" i="1"/>
  <c r="D854" i="1"/>
  <c r="E853" i="1"/>
  <c r="D853" i="1"/>
  <c r="E852" i="1"/>
  <c r="D852" i="1"/>
  <c r="E851" i="1"/>
  <c r="D851" i="1"/>
  <c r="E850" i="1"/>
  <c r="D850" i="1"/>
  <c r="E849" i="1"/>
  <c r="D849" i="1"/>
  <c r="E848" i="1"/>
  <c r="D848" i="1"/>
  <c r="E847" i="1"/>
  <c r="D847" i="1"/>
  <c r="E846" i="1"/>
  <c r="E845" i="1"/>
  <c r="E844" i="1"/>
  <c r="E843" i="1"/>
  <c r="D843" i="1"/>
  <c r="E842" i="1"/>
  <c r="D842" i="1"/>
  <c r="E841" i="1"/>
  <c r="D841" i="1"/>
  <c r="E840" i="1"/>
  <c r="D840" i="1"/>
  <c r="E839" i="1"/>
  <c r="D839" i="1"/>
  <c r="E838" i="1"/>
  <c r="D838" i="1"/>
  <c r="E837" i="1"/>
  <c r="D837" i="1"/>
  <c r="E836" i="1"/>
  <c r="D836" i="1"/>
  <c r="E835" i="1"/>
  <c r="D835" i="1"/>
  <c r="E834" i="1"/>
  <c r="D834" i="1"/>
  <c r="E833" i="1"/>
  <c r="D833" i="1"/>
  <c r="E832" i="1"/>
  <c r="D832" i="1"/>
  <c r="E831" i="1"/>
  <c r="D831" i="1"/>
  <c r="E830" i="1"/>
  <c r="D830" i="1"/>
  <c r="E829" i="1"/>
  <c r="D829" i="1"/>
  <c r="E828" i="1"/>
  <c r="D828" i="1"/>
  <c r="E827" i="1"/>
  <c r="D827" i="1"/>
  <c r="E826" i="1"/>
  <c r="D826" i="1"/>
  <c r="E825" i="1"/>
  <c r="D825" i="1"/>
  <c r="E824" i="1"/>
  <c r="D824" i="1"/>
  <c r="E823" i="1"/>
  <c r="D823" i="1"/>
  <c r="E822" i="1"/>
  <c r="D822" i="1"/>
  <c r="E821" i="1"/>
  <c r="D821" i="1"/>
  <c r="E820" i="1"/>
  <c r="D820" i="1"/>
  <c r="E819" i="1"/>
  <c r="D819" i="1"/>
  <c r="E818" i="1"/>
  <c r="D818" i="1"/>
  <c r="E817" i="1"/>
  <c r="D817" i="1"/>
  <c r="E816" i="1"/>
  <c r="D816" i="1"/>
  <c r="E815" i="1"/>
  <c r="D815" i="1"/>
  <c r="E814" i="1"/>
  <c r="D814" i="1"/>
  <c r="E813" i="1"/>
  <c r="D813" i="1"/>
  <c r="E812" i="1"/>
  <c r="D812" i="1"/>
  <c r="E811" i="1"/>
  <c r="D811" i="1"/>
  <c r="E810" i="1"/>
  <c r="D810" i="1"/>
  <c r="E809" i="1"/>
  <c r="D809" i="1"/>
  <c r="E808" i="1"/>
  <c r="D808" i="1"/>
  <c r="E807" i="1"/>
  <c r="D807" i="1"/>
  <c r="E806" i="1"/>
  <c r="D806" i="1"/>
  <c r="E805" i="1"/>
  <c r="D805" i="1"/>
  <c r="E804" i="1"/>
  <c r="D804" i="1"/>
  <c r="E803" i="1"/>
  <c r="D803" i="1"/>
  <c r="E802" i="1"/>
  <c r="D802" i="1"/>
  <c r="E801" i="1"/>
  <c r="D801" i="1"/>
  <c r="E800" i="1"/>
  <c r="D800" i="1"/>
  <c r="E799" i="1"/>
  <c r="D799" i="1"/>
  <c r="E798" i="1"/>
  <c r="D798" i="1"/>
  <c r="E797" i="1"/>
  <c r="D797" i="1"/>
  <c r="E796" i="1"/>
  <c r="D796" i="1"/>
  <c r="E795" i="1"/>
  <c r="D795" i="1"/>
  <c r="E794" i="1"/>
  <c r="D794" i="1"/>
  <c r="E793" i="1"/>
  <c r="D793" i="1"/>
  <c r="E792" i="1"/>
  <c r="D792" i="1"/>
  <c r="E791" i="1"/>
  <c r="D791" i="1"/>
  <c r="E790" i="1"/>
  <c r="D790" i="1"/>
  <c r="E789" i="1"/>
  <c r="D789" i="1"/>
  <c r="E788" i="1"/>
  <c r="D788" i="1"/>
  <c r="E787" i="1"/>
  <c r="D787" i="1"/>
  <c r="E786" i="1"/>
  <c r="D786" i="1"/>
  <c r="E785" i="1"/>
  <c r="D785" i="1"/>
  <c r="E784" i="1"/>
  <c r="D784" i="1"/>
  <c r="E783" i="1"/>
  <c r="D783" i="1"/>
  <c r="E782" i="1"/>
  <c r="D782" i="1"/>
  <c r="E781" i="1"/>
  <c r="D781" i="1"/>
  <c r="E780" i="1"/>
  <c r="D780" i="1"/>
  <c r="E779" i="1"/>
  <c r="D779" i="1"/>
  <c r="E778" i="1"/>
  <c r="D778" i="1"/>
  <c r="E777" i="1"/>
  <c r="D777" i="1"/>
  <c r="E776" i="1"/>
  <c r="D776" i="1"/>
  <c r="E775" i="1"/>
  <c r="D775" i="1"/>
  <c r="E774" i="1"/>
  <c r="D774" i="1"/>
  <c r="E773" i="1"/>
  <c r="D773" i="1"/>
  <c r="E772" i="1"/>
  <c r="D772" i="1"/>
  <c r="E771" i="1"/>
  <c r="D771" i="1"/>
  <c r="E770" i="1"/>
  <c r="D770" i="1"/>
  <c r="E769" i="1"/>
  <c r="D769" i="1"/>
  <c r="E768" i="1"/>
  <c r="D768" i="1"/>
  <c r="E767" i="1"/>
  <c r="D767" i="1"/>
  <c r="E766" i="1"/>
  <c r="D766" i="1"/>
  <c r="E765" i="1"/>
  <c r="D765" i="1"/>
  <c r="E764" i="1"/>
  <c r="D764" i="1"/>
  <c r="E763" i="1"/>
  <c r="D763" i="1"/>
  <c r="E762" i="1"/>
  <c r="D762" i="1"/>
  <c r="E761" i="1"/>
  <c r="D761" i="1"/>
  <c r="E760" i="1"/>
  <c r="D760" i="1"/>
  <c r="E759" i="1"/>
  <c r="D759" i="1"/>
  <c r="E758" i="1"/>
  <c r="D758" i="1"/>
  <c r="E757" i="1"/>
  <c r="D757" i="1"/>
  <c r="E756" i="1"/>
  <c r="D756" i="1"/>
  <c r="E755" i="1"/>
  <c r="D755" i="1"/>
  <c r="E754" i="1"/>
  <c r="D754" i="1"/>
  <c r="E753" i="1"/>
  <c r="D753" i="1"/>
  <c r="E752" i="1"/>
  <c r="D752" i="1"/>
  <c r="E751" i="1"/>
  <c r="D751" i="1"/>
  <c r="E750" i="1"/>
  <c r="D750" i="1"/>
  <c r="E749" i="1"/>
  <c r="D749" i="1"/>
  <c r="E748" i="1"/>
  <c r="D748" i="1"/>
  <c r="E747" i="1"/>
  <c r="D747" i="1"/>
  <c r="E746" i="1"/>
  <c r="D746" i="1"/>
  <c r="E745" i="1"/>
  <c r="D745" i="1"/>
  <c r="E744" i="1"/>
  <c r="D744" i="1"/>
  <c r="E743" i="1"/>
  <c r="D743" i="1"/>
  <c r="E742" i="1"/>
  <c r="D742" i="1"/>
  <c r="E741" i="1"/>
  <c r="D741" i="1"/>
  <c r="E740" i="1"/>
  <c r="D740" i="1"/>
  <c r="E739" i="1"/>
  <c r="D739" i="1"/>
  <c r="E738" i="1"/>
  <c r="D738" i="1"/>
  <c r="E737" i="1"/>
  <c r="D737" i="1"/>
  <c r="E736" i="1"/>
  <c r="D736" i="1"/>
  <c r="E735" i="1"/>
  <c r="D735" i="1"/>
  <c r="E734" i="1"/>
  <c r="D734" i="1"/>
  <c r="E733" i="1"/>
  <c r="D733" i="1"/>
  <c r="E732" i="1"/>
  <c r="D732" i="1"/>
  <c r="E731" i="1"/>
  <c r="D731" i="1"/>
  <c r="E730" i="1"/>
  <c r="D730" i="1"/>
  <c r="E729" i="1"/>
  <c r="D729" i="1"/>
  <c r="E728" i="1"/>
  <c r="D728" i="1"/>
  <c r="E727" i="1"/>
  <c r="D727" i="1"/>
  <c r="E726" i="1"/>
  <c r="D726" i="1"/>
  <c r="E725" i="1"/>
  <c r="D725" i="1"/>
  <c r="E724" i="1"/>
  <c r="D724" i="1"/>
  <c r="E723" i="1"/>
  <c r="D723" i="1"/>
  <c r="E722" i="1"/>
  <c r="D722" i="1"/>
  <c r="E721" i="1"/>
  <c r="D721" i="1"/>
  <c r="E720" i="1"/>
  <c r="D720" i="1"/>
  <c r="E719" i="1"/>
  <c r="D719" i="1"/>
  <c r="E718" i="1"/>
  <c r="D718" i="1"/>
  <c r="E717" i="1"/>
  <c r="D717" i="1"/>
  <c r="E716" i="1"/>
  <c r="D716" i="1"/>
  <c r="E715" i="1"/>
  <c r="D715" i="1"/>
  <c r="E714" i="1"/>
  <c r="D714" i="1"/>
  <c r="E713" i="1"/>
  <c r="D713" i="1"/>
  <c r="E712" i="1"/>
  <c r="D712" i="1"/>
  <c r="E711" i="1"/>
  <c r="D711" i="1"/>
  <c r="E710" i="1"/>
  <c r="D710" i="1"/>
  <c r="E709" i="1"/>
  <c r="D709" i="1"/>
  <c r="E708" i="1"/>
  <c r="D708" i="1"/>
  <c r="E707" i="1"/>
  <c r="D707" i="1"/>
  <c r="E706" i="1"/>
  <c r="D706" i="1"/>
  <c r="E705" i="1"/>
  <c r="D705" i="1"/>
  <c r="E704" i="1"/>
  <c r="D704" i="1"/>
  <c r="E703" i="1"/>
  <c r="D703" i="1"/>
  <c r="E702" i="1"/>
  <c r="D702" i="1"/>
  <c r="E701" i="1"/>
  <c r="D701" i="1"/>
  <c r="E700" i="1"/>
  <c r="D700" i="1"/>
  <c r="E699" i="1"/>
  <c r="D699" i="1"/>
  <c r="E698" i="1"/>
  <c r="D698" i="1"/>
  <c r="E697" i="1"/>
  <c r="D697" i="1"/>
  <c r="E696" i="1"/>
  <c r="D696" i="1"/>
  <c r="E695" i="1"/>
  <c r="D695" i="1"/>
  <c r="E694" i="1"/>
  <c r="D694" i="1"/>
  <c r="E693" i="1"/>
  <c r="D693" i="1"/>
  <c r="E692" i="1"/>
  <c r="D692" i="1"/>
  <c r="E691" i="1"/>
  <c r="D691" i="1"/>
  <c r="E690" i="1"/>
  <c r="D690" i="1"/>
  <c r="E689" i="1"/>
  <c r="D689" i="1"/>
  <c r="E688" i="1"/>
  <c r="D688" i="1"/>
  <c r="E687" i="1"/>
  <c r="D687" i="1"/>
  <c r="E686" i="1"/>
  <c r="D686" i="1"/>
  <c r="E685" i="1"/>
  <c r="D685" i="1"/>
  <c r="E684" i="1"/>
  <c r="D684" i="1"/>
  <c r="E683" i="1"/>
  <c r="D683" i="1"/>
  <c r="E682" i="1"/>
  <c r="D682" i="1"/>
  <c r="E681" i="1"/>
  <c r="D681" i="1"/>
  <c r="E680" i="1"/>
  <c r="D680" i="1"/>
  <c r="E679" i="1"/>
  <c r="D679" i="1"/>
  <c r="E678" i="1"/>
  <c r="D678" i="1"/>
  <c r="E677" i="1"/>
  <c r="D677" i="1"/>
  <c r="E676" i="1"/>
  <c r="D676" i="1"/>
  <c r="E675" i="1"/>
  <c r="D675" i="1"/>
  <c r="E674" i="1"/>
  <c r="D674" i="1"/>
  <c r="E673" i="1"/>
  <c r="D673" i="1"/>
  <c r="E672" i="1"/>
  <c r="D672" i="1"/>
  <c r="E671" i="1"/>
  <c r="D671" i="1"/>
  <c r="E670" i="1"/>
  <c r="D670" i="1"/>
  <c r="E669" i="1"/>
  <c r="D669" i="1"/>
  <c r="E668" i="1"/>
  <c r="D668" i="1"/>
  <c r="E667" i="1"/>
  <c r="D667" i="1"/>
  <c r="E666" i="1"/>
  <c r="D666" i="1"/>
  <c r="E665" i="1"/>
  <c r="D665" i="1"/>
  <c r="E664" i="1"/>
  <c r="D664" i="1"/>
  <c r="E663" i="1"/>
  <c r="D663" i="1"/>
  <c r="E662" i="1"/>
  <c r="D662" i="1"/>
  <c r="E661" i="1"/>
  <c r="D661" i="1"/>
  <c r="E660" i="1"/>
  <c r="D660" i="1"/>
  <c r="E659" i="1"/>
  <c r="D659" i="1"/>
  <c r="E658" i="1"/>
  <c r="D658" i="1"/>
  <c r="E657" i="1"/>
  <c r="D657" i="1"/>
  <c r="E656" i="1"/>
  <c r="D656" i="1"/>
  <c r="E655" i="1"/>
  <c r="D655" i="1"/>
  <c r="E654" i="1"/>
  <c r="D654" i="1"/>
  <c r="E653" i="1"/>
  <c r="D653" i="1"/>
  <c r="E652" i="1"/>
  <c r="D652" i="1"/>
  <c r="E651" i="1"/>
  <c r="D651" i="1"/>
  <c r="E650" i="1"/>
  <c r="D650" i="1"/>
  <c r="E649" i="1"/>
  <c r="D649" i="1"/>
  <c r="E648" i="1"/>
  <c r="D648" i="1"/>
  <c r="E647" i="1"/>
  <c r="D647" i="1"/>
  <c r="E646" i="1"/>
  <c r="D646" i="1"/>
  <c r="E645" i="1"/>
  <c r="D645" i="1"/>
  <c r="E644" i="1"/>
  <c r="D644" i="1"/>
  <c r="E643" i="1"/>
  <c r="D643" i="1"/>
  <c r="E642" i="1"/>
  <c r="D642" i="1"/>
  <c r="E641" i="1"/>
  <c r="D641" i="1"/>
  <c r="E640" i="1"/>
  <c r="D640" i="1"/>
  <c r="E639" i="1"/>
  <c r="D639" i="1"/>
  <c r="E638" i="1"/>
  <c r="D638" i="1"/>
  <c r="E637" i="1"/>
  <c r="D637" i="1"/>
  <c r="E636" i="1"/>
  <c r="D636" i="1"/>
  <c r="E635" i="1"/>
  <c r="D635" i="1"/>
  <c r="E634" i="1"/>
  <c r="D634" i="1"/>
  <c r="E633" i="1"/>
  <c r="D633" i="1"/>
  <c r="E632" i="1"/>
  <c r="D632" i="1"/>
  <c r="E631" i="1"/>
  <c r="D631" i="1"/>
  <c r="E630" i="1"/>
  <c r="D630" i="1"/>
  <c r="E629" i="1"/>
  <c r="D629" i="1"/>
  <c r="E628" i="1"/>
  <c r="D628" i="1"/>
  <c r="E627" i="1"/>
  <c r="D627" i="1"/>
  <c r="E626" i="1"/>
  <c r="D626" i="1"/>
  <c r="E625" i="1"/>
  <c r="D625" i="1"/>
  <c r="E624" i="1"/>
  <c r="D624" i="1"/>
  <c r="E623" i="1"/>
  <c r="D623" i="1"/>
  <c r="E622" i="1"/>
  <c r="D622" i="1"/>
  <c r="E621" i="1"/>
  <c r="D621" i="1"/>
  <c r="E620" i="1"/>
  <c r="D620" i="1"/>
  <c r="E619" i="1"/>
  <c r="D619" i="1"/>
  <c r="E618" i="1"/>
  <c r="D618" i="1"/>
  <c r="E617" i="1"/>
  <c r="D617" i="1"/>
  <c r="E616" i="1"/>
  <c r="D616" i="1"/>
  <c r="E615" i="1"/>
  <c r="D615" i="1"/>
  <c r="E614" i="1"/>
  <c r="D614" i="1"/>
  <c r="E613" i="1"/>
  <c r="D613" i="1"/>
  <c r="E612" i="1"/>
  <c r="D612" i="1"/>
  <c r="E611" i="1"/>
  <c r="D611" i="1"/>
  <c r="E610" i="1"/>
  <c r="D610" i="1"/>
  <c r="E609" i="1"/>
  <c r="D609" i="1"/>
  <c r="E608" i="1"/>
  <c r="D608" i="1"/>
  <c r="E607" i="1"/>
  <c r="D607" i="1"/>
  <c r="E606" i="1"/>
  <c r="D606" i="1"/>
  <c r="E605" i="1"/>
  <c r="D605" i="1"/>
  <c r="E604" i="1"/>
  <c r="D604" i="1"/>
  <c r="E603" i="1"/>
  <c r="D603" i="1"/>
  <c r="E602" i="1"/>
  <c r="D602" i="1"/>
  <c r="E601" i="1"/>
  <c r="D601" i="1"/>
  <c r="E600" i="1"/>
  <c r="D600" i="1"/>
  <c r="E599" i="1"/>
  <c r="D599" i="1"/>
  <c r="E598" i="1"/>
  <c r="D598" i="1"/>
  <c r="E597" i="1"/>
  <c r="D597" i="1"/>
  <c r="E596" i="1"/>
  <c r="D596" i="1"/>
  <c r="E595" i="1"/>
  <c r="D595" i="1"/>
  <c r="E594" i="1"/>
  <c r="D594" i="1"/>
  <c r="E593" i="1"/>
  <c r="D593" i="1"/>
  <c r="E592" i="1"/>
  <c r="D592" i="1"/>
  <c r="E591" i="1"/>
  <c r="D591" i="1"/>
  <c r="E590" i="1"/>
  <c r="D590" i="1"/>
  <c r="E589" i="1"/>
  <c r="D589" i="1"/>
  <c r="E588" i="1"/>
  <c r="D588" i="1"/>
  <c r="E587" i="1"/>
  <c r="D587" i="1"/>
  <c r="E586" i="1"/>
  <c r="D586" i="1"/>
  <c r="E585" i="1"/>
  <c r="D585" i="1"/>
  <c r="E584" i="1"/>
  <c r="D584" i="1"/>
  <c r="E583" i="1"/>
  <c r="D583" i="1"/>
  <c r="E582" i="1"/>
  <c r="D582" i="1"/>
  <c r="E581" i="1"/>
  <c r="D581" i="1"/>
  <c r="E580" i="1"/>
  <c r="D580" i="1"/>
  <c r="E579" i="1"/>
  <c r="D579" i="1"/>
  <c r="E578" i="1"/>
  <c r="D578" i="1"/>
  <c r="E577" i="1"/>
  <c r="D577" i="1"/>
  <c r="E576" i="1"/>
  <c r="D576" i="1"/>
  <c r="E575" i="1"/>
  <c r="D575" i="1"/>
  <c r="E574" i="1"/>
  <c r="D574" i="1"/>
  <c r="E573" i="1"/>
  <c r="D573" i="1"/>
  <c r="E572" i="1"/>
  <c r="D572" i="1"/>
  <c r="E571" i="1"/>
  <c r="D571" i="1"/>
  <c r="E570" i="1"/>
  <c r="D570" i="1"/>
  <c r="E569" i="1"/>
  <c r="D569" i="1"/>
  <c r="E568" i="1"/>
  <c r="D568" i="1"/>
  <c r="E567" i="1"/>
  <c r="D567" i="1"/>
  <c r="E566" i="1"/>
  <c r="D566" i="1"/>
  <c r="E565" i="1"/>
  <c r="D565" i="1"/>
  <c r="E564" i="1"/>
  <c r="D564" i="1"/>
  <c r="E563" i="1"/>
  <c r="D563" i="1"/>
  <c r="E562" i="1"/>
  <c r="D562" i="1"/>
  <c r="E561" i="1"/>
  <c r="D561" i="1"/>
  <c r="E560" i="1"/>
  <c r="D560" i="1"/>
  <c r="E559" i="1"/>
  <c r="D559" i="1"/>
  <c r="E558" i="1"/>
  <c r="D558" i="1"/>
  <c r="E557" i="1"/>
  <c r="D557" i="1"/>
  <c r="E556" i="1"/>
  <c r="D556" i="1"/>
  <c r="E555" i="1"/>
  <c r="D555" i="1"/>
  <c r="E554" i="1"/>
  <c r="D554" i="1"/>
  <c r="E553" i="1"/>
  <c r="D553" i="1"/>
  <c r="E552" i="1"/>
  <c r="D552" i="1"/>
  <c r="E551" i="1"/>
  <c r="D551" i="1"/>
  <c r="E550" i="1"/>
  <c r="D550" i="1"/>
  <c r="E549" i="1"/>
  <c r="D549" i="1"/>
  <c r="E548" i="1"/>
  <c r="D548" i="1"/>
  <c r="E547" i="1"/>
  <c r="D547" i="1"/>
  <c r="E546" i="1"/>
  <c r="D546" i="1"/>
  <c r="E545" i="1"/>
  <c r="D545" i="1"/>
  <c r="E544" i="1"/>
  <c r="D544" i="1"/>
  <c r="E543" i="1"/>
  <c r="D543" i="1"/>
  <c r="E542" i="1"/>
  <c r="D542" i="1"/>
  <c r="E541" i="1"/>
  <c r="D541" i="1"/>
  <c r="E540" i="1"/>
  <c r="D540" i="1"/>
  <c r="E539" i="1"/>
  <c r="D539" i="1"/>
  <c r="E538" i="1"/>
  <c r="D538" i="1"/>
  <c r="E537" i="1"/>
  <c r="D537" i="1"/>
  <c r="E536" i="1"/>
  <c r="D536" i="1"/>
  <c r="E535" i="1"/>
  <c r="D535" i="1"/>
  <c r="E534" i="1"/>
  <c r="D534" i="1"/>
  <c r="E533" i="1"/>
  <c r="D533" i="1"/>
  <c r="E532" i="1"/>
  <c r="D532" i="1"/>
  <c r="E531" i="1"/>
  <c r="D531" i="1"/>
  <c r="E530" i="1"/>
  <c r="D530" i="1"/>
  <c r="E529" i="1"/>
  <c r="D529" i="1"/>
  <c r="E528" i="1"/>
  <c r="D528" i="1"/>
  <c r="E527" i="1"/>
  <c r="D527" i="1"/>
  <c r="E526" i="1"/>
  <c r="D526" i="1"/>
  <c r="E525" i="1"/>
  <c r="D525" i="1"/>
  <c r="E524" i="1"/>
  <c r="D524" i="1"/>
  <c r="E523" i="1"/>
  <c r="D523" i="1"/>
  <c r="E522" i="1"/>
  <c r="D522" i="1"/>
  <c r="E521" i="1"/>
  <c r="D521" i="1"/>
  <c r="E520" i="1"/>
  <c r="D520" i="1"/>
  <c r="E519" i="1"/>
  <c r="D519" i="1"/>
  <c r="E518" i="1"/>
  <c r="D518" i="1"/>
  <c r="E517" i="1"/>
  <c r="D517" i="1"/>
  <c r="E516" i="1"/>
  <c r="D516" i="1"/>
  <c r="E515" i="1"/>
  <c r="D515" i="1"/>
  <c r="E514" i="1"/>
  <c r="D514" i="1"/>
  <c r="E513" i="1"/>
  <c r="D513" i="1"/>
  <c r="E512" i="1"/>
  <c r="D512" i="1"/>
  <c r="E511" i="1"/>
  <c r="D511" i="1"/>
  <c r="E510" i="1"/>
  <c r="D510" i="1"/>
  <c r="E509" i="1"/>
  <c r="D509" i="1"/>
  <c r="E508" i="1"/>
  <c r="D508" i="1"/>
  <c r="E507" i="1"/>
  <c r="D507" i="1"/>
  <c r="E506" i="1"/>
  <c r="D506" i="1"/>
  <c r="E505" i="1"/>
  <c r="D505" i="1"/>
  <c r="E504" i="1"/>
  <c r="D504" i="1"/>
  <c r="E503" i="1"/>
  <c r="D503" i="1"/>
  <c r="E502" i="1"/>
  <c r="D502" i="1"/>
  <c r="E501" i="1"/>
  <c r="D501" i="1"/>
  <c r="E500" i="1"/>
  <c r="D500" i="1"/>
  <c r="E499" i="1"/>
  <c r="D499" i="1"/>
  <c r="E498" i="1"/>
  <c r="D498" i="1"/>
  <c r="E497" i="1"/>
  <c r="D497" i="1"/>
  <c r="E496" i="1"/>
  <c r="D496" i="1"/>
  <c r="E495" i="1"/>
  <c r="D495" i="1"/>
  <c r="E494" i="1"/>
  <c r="D494" i="1"/>
  <c r="E493" i="1"/>
  <c r="D493" i="1"/>
  <c r="E492" i="1"/>
  <c r="D492" i="1"/>
  <c r="E491" i="1"/>
  <c r="D491" i="1"/>
  <c r="E490" i="1"/>
  <c r="D490" i="1"/>
  <c r="E489" i="1"/>
  <c r="D489" i="1"/>
  <c r="E488" i="1"/>
  <c r="D488" i="1"/>
  <c r="E487" i="1"/>
  <c r="D487" i="1"/>
  <c r="E486" i="1"/>
  <c r="D486" i="1"/>
  <c r="E485" i="1"/>
  <c r="D485" i="1"/>
  <c r="E484" i="1"/>
  <c r="D484" i="1"/>
  <c r="E483" i="1"/>
  <c r="D483" i="1"/>
  <c r="E482" i="1"/>
  <c r="D482" i="1"/>
  <c r="E481" i="1"/>
  <c r="D481" i="1"/>
  <c r="E480" i="1"/>
  <c r="D480" i="1"/>
  <c r="E479" i="1"/>
  <c r="D479" i="1"/>
  <c r="E478" i="1"/>
  <c r="D478" i="1"/>
  <c r="E477" i="1"/>
  <c r="D477" i="1"/>
  <c r="E476" i="1"/>
  <c r="D476" i="1"/>
  <c r="E475" i="1"/>
  <c r="D475" i="1"/>
  <c r="E474" i="1"/>
  <c r="D474" i="1"/>
  <c r="E473" i="1"/>
  <c r="D473" i="1"/>
  <c r="E472" i="1"/>
  <c r="D472" i="1"/>
  <c r="E471" i="1"/>
  <c r="D471" i="1"/>
  <c r="E470" i="1"/>
  <c r="D470" i="1"/>
  <c r="E469" i="1"/>
  <c r="D469" i="1"/>
  <c r="E468" i="1"/>
  <c r="D468" i="1"/>
  <c r="E467" i="1"/>
  <c r="D467" i="1"/>
  <c r="E466" i="1"/>
  <c r="D466" i="1"/>
  <c r="E465" i="1"/>
  <c r="D465" i="1"/>
  <c r="E464" i="1"/>
  <c r="D464" i="1"/>
  <c r="E463" i="1"/>
  <c r="D463" i="1"/>
  <c r="E462" i="1"/>
  <c r="D462" i="1"/>
  <c r="E461" i="1"/>
  <c r="D461" i="1"/>
  <c r="E460" i="1"/>
  <c r="D460" i="1"/>
  <c r="E459" i="1"/>
  <c r="D459" i="1"/>
  <c r="E458" i="1"/>
  <c r="D458" i="1"/>
  <c r="E457" i="1"/>
  <c r="D457" i="1"/>
  <c r="E456" i="1"/>
  <c r="D456" i="1"/>
  <c r="E455" i="1"/>
  <c r="D455" i="1"/>
  <c r="E454" i="1"/>
  <c r="D454" i="1"/>
  <c r="E453" i="1"/>
  <c r="D453" i="1"/>
  <c r="E452" i="1"/>
  <c r="D452" i="1"/>
  <c r="E451" i="1"/>
  <c r="D451" i="1"/>
  <c r="E450" i="1"/>
  <c r="D450" i="1"/>
  <c r="E449" i="1"/>
  <c r="D449" i="1"/>
  <c r="E448" i="1"/>
  <c r="D448" i="1"/>
  <c r="E447" i="1"/>
  <c r="D447" i="1"/>
  <c r="E446" i="1"/>
  <c r="D446" i="1"/>
  <c r="E445" i="1"/>
  <c r="D445" i="1"/>
  <c r="E444" i="1"/>
  <c r="D444" i="1"/>
  <c r="E443" i="1"/>
  <c r="D443" i="1"/>
  <c r="E442" i="1"/>
  <c r="D442" i="1"/>
  <c r="E441" i="1"/>
  <c r="D441" i="1"/>
  <c r="E440" i="1"/>
  <c r="D440" i="1"/>
  <c r="E439" i="1"/>
  <c r="D439" i="1"/>
  <c r="E438" i="1"/>
  <c r="D438" i="1"/>
  <c r="E437" i="1"/>
  <c r="D437" i="1"/>
  <c r="E436" i="1"/>
  <c r="D436" i="1"/>
  <c r="E435" i="1"/>
  <c r="D435" i="1"/>
  <c r="E434" i="1"/>
  <c r="D434" i="1"/>
  <c r="E433" i="1"/>
  <c r="D433" i="1"/>
  <c r="E432" i="1"/>
  <c r="D432" i="1"/>
  <c r="E431" i="1"/>
  <c r="D431" i="1"/>
  <c r="E430" i="1"/>
  <c r="D430" i="1"/>
  <c r="E429" i="1"/>
  <c r="D429" i="1"/>
  <c r="E428" i="1"/>
  <c r="D428" i="1"/>
  <c r="E427" i="1"/>
  <c r="D427" i="1"/>
  <c r="E426" i="1"/>
  <c r="D426" i="1"/>
  <c r="E425" i="1"/>
  <c r="D425" i="1"/>
  <c r="E424" i="1"/>
  <c r="D424" i="1"/>
  <c r="E423" i="1"/>
  <c r="D423" i="1"/>
  <c r="E422" i="1"/>
  <c r="D422" i="1"/>
  <c r="E421" i="1"/>
  <c r="D421" i="1"/>
  <c r="E420" i="1"/>
  <c r="D420" i="1"/>
  <c r="E419" i="1"/>
  <c r="D419" i="1"/>
  <c r="E418" i="1"/>
  <c r="D418" i="1"/>
  <c r="E417" i="1"/>
  <c r="D417" i="1"/>
  <c r="E416" i="1"/>
  <c r="D416" i="1"/>
  <c r="E415" i="1"/>
  <c r="D415" i="1"/>
  <c r="E414" i="1"/>
  <c r="D414" i="1"/>
  <c r="E413" i="1"/>
  <c r="D413" i="1"/>
  <c r="E412" i="1"/>
  <c r="D412" i="1"/>
  <c r="E411" i="1"/>
  <c r="D411" i="1"/>
  <c r="E410" i="1"/>
  <c r="D410" i="1"/>
  <c r="E409" i="1"/>
  <c r="D409" i="1"/>
  <c r="E408" i="1"/>
  <c r="D408" i="1"/>
  <c r="E407" i="1"/>
  <c r="D407" i="1"/>
  <c r="E406" i="1"/>
  <c r="D406" i="1"/>
  <c r="E405" i="1"/>
  <c r="D405" i="1"/>
  <c r="E404" i="1"/>
  <c r="D404" i="1"/>
  <c r="E403" i="1"/>
  <c r="D403" i="1"/>
  <c r="E402" i="1"/>
  <c r="D402" i="1"/>
  <c r="E401" i="1"/>
  <c r="D401" i="1"/>
  <c r="E400" i="1"/>
  <c r="D400" i="1"/>
  <c r="E399" i="1"/>
  <c r="D399" i="1"/>
  <c r="E398" i="1"/>
  <c r="D398" i="1"/>
  <c r="E397" i="1"/>
  <c r="D397" i="1"/>
  <c r="E396" i="1"/>
  <c r="D396" i="1"/>
  <c r="E395" i="1"/>
  <c r="D395" i="1"/>
  <c r="E394" i="1"/>
  <c r="D394" i="1"/>
  <c r="E393" i="1"/>
  <c r="E392" i="1"/>
  <c r="E391" i="1"/>
  <c r="D391" i="1"/>
  <c r="E390" i="1"/>
  <c r="E389" i="1"/>
  <c r="D389" i="1"/>
  <c r="E388" i="1"/>
  <c r="D388" i="1"/>
  <c r="E387" i="1"/>
  <c r="E386" i="1"/>
  <c r="D386" i="1"/>
  <c r="E385" i="1"/>
  <c r="D385" i="1"/>
  <c r="E384" i="1"/>
  <c r="D384" i="1"/>
  <c r="E383" i="1"/>
  <c r="D383" i="1"/>
  <c r="E382" i="1"/>
  <c r="D382" i="1"/>
  <c r="E381" i="1"/>
  <c r="E380" i="1"/>
  <c r="D380" i="1"/>
  <c r="E379" i="1"/>
  <c r="D379" i="1"/>
  <c r="E378" i="1"/>
  <c r="D378" i="1"/>
  <c r="E377" i="1"/>
  <c r="D377" i="1"/>
  <c r="E376" i="1"/>
  <c r="D376" i="1"/>
  <c r="E375" i="1"/>
  <c r="D375" i="1"/>
  <c r="E374" i="1"/>
  <c r="D374" i="1"/>
  <c r="E373" i="1"/>
  <c r="D373" i="1"/>
  <c r="E372" i="1"/>
  <c r="D372" i="1"/>
  <c r="E371" i="1"/>
  <c r="D371" i="1"/>
  <c r="E370" i="1"/>
  <c r="D370" i="1"/>
  <c r="E369" i="1"/>
  <c r="D369" i="1"/>
  <c r="E368" i="1"/>
  <c r="D368" i="1"/>
  <c r="E367" i="1"/>
  <c r="E366" i="1"/>
  <c r="D366" i="1"/>
  <c r="E365" i="1"/>
  <c r="D365" i="1"/>
  <c r="E364" i="1"/>
  <c r="D364" i="1"/>
  <c r="E363" i="1"/>
  <c r="D363" i="1"/>
  <c r="E362" i="1"/>
  <c r="D362" i="1"/>
  <c r="E361" i="1"/>
  <c r="D361" i="1"/>
  <c r="E360" i="1"/>
  <c r="D360" i="1"/>
  <c r="E359" i="1"/>
  <c r="D359" i="1"/>
  <c r="E358" i="1"/>
  <c r="D358" i="1"/>
  <c r="E357" i="1"/>
  <c r="D357" i="1"/>
  <c r="E356" i="1"/>
  <c r="D356" i="1"/>
  <c r="E355" i="1"/>
  <c r="D355" i="1"/>
  <c r="E354" i="1"/>
  <c r="D354" i="1"/>
  <c r="E353" i="1"/>
  <c r="D353" i="1"/>
  <c r="E352" i="1"/>
  <c r="D352" i="1"/>
  <c r="E351" i="1"/>
  <c r="D351" i="1"/>
  <c r="E350" i="1"/>
  <c r="D350" i="1"/>
  <c r="E349" i="1"/>
  <c r="D349" i="1"/>
  <c r="E348" i="1"/>
  <c r="D348" i="1"/>
  <c r="E347" i="1"/>
  <c r="D347" i="1"/>
  <c r="E346" i="1"/>
  <c r="D346" i="1"/>
  <c r="E345" i="1"/>
  <c r="D345" i="1"/>
  <c r="E344" i="1"/>
  <c r="D344" i="1"/>
  <c r="E343" i="1"/>
  <c r="D343" i="1"/>
  <c r="E342" i="1"/>
  <c r="D342" i="1"/>
  <c r="E341" i="1"/>
  <c r="D341" i="1"/>
  <c r="E340" i="1"/>
  <c r="D340" i="1"/>
  <c r="E339" i="1"/>
  <c r="D339" i="1"/>
  <c r="E338" i="1"/>
  <c r="D338" i="1"/>
  <c r="E337" i="1"/>
  <c r="D337" i="1"/>
  <c r="E336" i="1"/>
  <c r="D336" i="1"/>
  <c r="E335" i="1"/>
  <c r="D335" i="1"/>
  <c r="E334" i="1"/>
  <c r="D334" i="1"/>
  <c r="E333" i="1"/>
  <c r="D333" i="1"/>
  <c r="E332" i="1"/>
  <c r="D332" i="1"/>
  <c r="E331" i="1"/>
  <c r="D331" i="1"/>
  <c r="E330" i="1"/>
  <c r="D330" i="1"/>
  <c r="E329" i="1"/>
  <c r="D329" i="1"/>
  <c r="E328" i="1"/>
  <c r="D328" i="1"/>
  <c r="E327" i="1"/>
  <c r="D327" i="1"/>
  <c r="E326" i="1"/>
  <c r="D326" i="1"/>
  <c r="E325" i="1"/>
  <c r="D325" i="1"/>
  <c r="E324" i="1"/>
  <c r="D324" i="1"/>
  <c r="E323" i="1"/>
  <c r="D323" i="1"/>
  <c r="E322" i="1"/>
  <c r="D322" i="1"/>
  <c r="E321" i="1"/>
  <c r="D321" i="1"/>
  <c r="E320" i="1"/>
  <c r="D320" i="1"/>
  <c r="E319" i="1"/>
  <c r="D319" i="1"/>
  <c r="E318" i="1"/>
  <c r="D318" i="1"/>
  <c r="E317" i="1"/>
  <c r="D317" i="1"/>
  <c r="E316" i="1"/>
  <c r="D316" i="1"/>
  <c r="E315" i="1"/>
  <c r="D315" i="1"/>
  <c r="E314" i="1"/>
  <c r="D314" i="1"/>
  <c r="E313" i="1"/>
  <c r="D313" i="1"/>
  <c r="E312" i="1"/>
  <c r="D312" i="1"/>
  <c r="E311" i="1"/>
  <c r="D311" i="1"/>
  <c r="E310" i="1"/>
  <c r="D310" i="1"/>
  <c r="E309" i="1"/>
  <c r="D309" i="1"/>
  <c r="E308" i="1"/>
  <c r="D308" i="1"/>
  <c r="E307" i="1"/>
  <c r="D307" i="1"/>
  <c r="E306" i="1"/>
  <c r="D306" i="1"/>
  <c r="E305" i="1"/>
  <c r="D305" i="1"/>
  <c r="E304" i="1"/>
  <c r="D304" i="1"/>
  <c r="E303" i="1"/>
  <c r="D303" i="1"/>
  <c r="E302" i="1"/>
  <c r="D302" i="1"/>
  <c r="E301" i="1"/>
  <c r="D301" i="1"/>
  <c r="E300" i="1"/>
  <c r="D300" i="1"/>
  <c r="E299" i="1"/>
  <c r="D299" i="1"/>
  <c r="E298" i="1"/>
  <c r="D298" i="1"/>
  <c r="E297" i="1"/>
  <c r="D297" i="1"/>
  <c r="E296" i="1"/>
  <c r="D296" i="1"/>
  <c r="E295" i="1"/>
  <c r="D295" i="1"/>
  <c r="E294" i="1"/>
  <c r="D294" i="1"/>
  <c r="E293" i="1"/>
  <c r="D293" i="1"/>
  <c r="E292" i="1"/>
  <c r="D292" i="1"/>
  <c r="E291" i="1"/>
  <c r="D291" i="1"/>
  <c r="E290" i="1"/>
  <c r="D290" i="1"/>
  <c r="E289" i="1"/>
  <c r="D289" i="1"/>
  <c r="E288" i="1"/>
  <c r="D288" i="1"/>
  <c r="E287" i="1"/>
  <c r="D287" i="1"/>
  <c r="E286" i="1"/>
  <c r="D286" i="1"/>
  <c r="E285" i="1"/>
  <c r="D285" i="1"/>
  <c r="E284" i="1"/>
  <c r="D284" i="1"/>
  <c r="E283" i="1"/>
  <c r="D283" i="1"/>
  <c r="E282" i="1"/>
  <c r="D282" i="1"/>
  <c r="E281" i="1"/>
  <c r="D281" i="1"/>
  <c r="E280" i="1"/>
  <c r="D280" i="1"/>
  <c r="E279" i="1"/>
  <c r="D279" i="1"/>
  <c r="E278" i="1"/>
  <c r="D278" i="1"/>
  <c r="E277" i="1"/>
  <c r="D277" i="1"/>
  <c r="E276" i="1"/>
  <c r="D276" i="1"/>
  <c r="E275" i="1"/>
  <c r="D275" i="1"/>
  <c r="E274" i="1"/>
  <c r="D274" i="1"/>
  <c r="E273" i="1"/>
  <c r="D273" i="1"/>
  <c r="E272" i="1"/>
  <c r="D272" i="1"/>
  <c r="E271" i="1"/>
  <c r="D271" i="1"/>
  <c r="E270" i="1"/>
  <c r="D270" i="1"/>
  <c r="E269" i="1"/>
  <c r="D269" i="1"/>
  <c r="E268" i="1"/>
  <c r="D268" i="1"/>
  <c r="E267" i="1"/>
  <c r="D267" i="1"/>
  <c r="E266" i="1"/>
  <c r="D266" i="1"/>
  <c r="E265" i="1"/>
  <c r="D265" i="1"/>
  <c r="E264" i="1"/>
  <c r="D264" i="1"/>
  <c r="E263" i="1"/>
  <c r="D263" i="1"/>
  <c r="E262" i="1"/>
  <c r="D262" i="1"/>
  <c r="E261" i="1"/>
  <c r="D261" i="1"/>
  <c r="E260" i="1"/>
  <c r="D260" i="1"/>
  <c r="E259" i="1"/>
  <c r="D259" i="1"/>
  <c r="E258" i="1"/>
  <c r="D258" i="1"/>
  <c r="E257" i="1"/>
  <c r="D257" i="1"/>
  <c r="E256" i="1"/>
  <c r="D256" i="1"/>
  <c r="E255" i="1"/>
  <c r="D255" i="1"/>
  <c r="E254" i="1"/>
  <c r="D254" i="1"/>
  <c r="E253" i="1"/>
  <c r="D253" i="1"/>
  <c r="E252" i="1"/>
  <c r="D252" i="1"/>
  <c r="E251" i="1"/>
  <c r="D251" i="1"/>
  <c r="E250" i="1"/>
  <c r="D250" i="1"/>
  <c r="E249" i="1"/>
  <c r="D249" i="1"/>
  <c r="E248" i="1"/>
  <c r="D248" i="1"/>
  <c r="E247" i="1"/>
  <c r="D247" i="1"/>
  <c r="E246" i="1"/>
  <c r="D246" i="1"/>
  <c r="E245" i="1"/>
  <c r="D245" i="1"/>
  <c r="E244" i="1"/>
  <c r="D244" i="1"/>
  <c r="E243" i="1"/>
  <c r="D243" i="1"/>
  <c r="E242" i="1"/>
  <c r="D242" i="1"/>
  <c r="E241" i="1"/>
  <c r="D241" i="1"/>
  <c r="E240" i="1"/>
  <c r="D240" i="1"/>
  <c r="E239" i="1"/>
  <c r="D239" i="1"/>
  <c r="E238" i="1"/>
  <c r="D238" i="1"/>
  <c r="E237" i="1"/>
  <c r="D237" i="1"/>
  <c r="E236" i="1"/>
  <c r="D236" i="1"/>
  <c r="E235" i="1"/>
  <c r="D235" i="1"/>
  <c r="E234" i="1"/>
  <c r="D234" i="1"/>
  <c r="E233" i="1"/>
  <c r="D233" i="1"/>
  <c r="E232" i="1"/>
  <c r="D232" i="1"/>
  <c r="E231" i="1"/>
  <c r="D231" i="1"/>
  <c r="E230" i="1"/>
  <c r="D230" i="1"/>
  <c r="E229" i="1"/>
  <c r="D229" i="1"/>
  <c r="E228" i="1"/>
  <c r="D228" i="1"/>
  <c r="E227" i="1"/>
  <c r="D227" i="1"/>
  <c r="E226" i="1"/>
  <c r="D226" i="1"/>
  <c r="E225" i="1"/>
  <c r="D225" i="1"/>
  <c r="E224" i="1"/>
  <c r="D224" i="1"/>
  <c r="E223" i="1"/>
  <c r="D223" i="1"/>
  <c r="E222" i="1"/>
  <c r="D222" i="1"/>
  <c r="E221" i="1"/>
  <c r="D221" i="1"/>
  <c r="E220" i="1"/>
  <c r="D220" i="1"/>
  <c r="E219" i="1"/>
  <c r="D219" i="1"/>
  <c r="E218" i="1"/>
  <c r="D218" i="1"/>
  <c r="E217" i="1"/>
  <c r="D217" i="1"/>
  <c r="E216" i="1"/>
  <c r="D216" i="1"/>
  <c r="E215" i="1"/>
  <c r="D215" i="1"/>
  <c r="E214" i="1"/>
  <c r="D214" i="1"/>
  <c r="E213" i="1"/>
  <c r="D213" i="1"/>
  <c r="E212" i="1"/>
  <c r="D212" i="1"/>
  <c r="E211" i="1"/>
  <c r="D211" i="1"/>
  <c r="E210" i="1"/>
  <c r="D210" i="1"/>
  <c r="E209" i="1"/>
  <c r="D209" i="1"/>
  <c r="E208" i="1"/>
  <c r="D208" i="1"/>
  <c r="E207" i="1"/>
  <c r="D207" i="1"/>
  <c r="E206" i="1"/>
  <c r="D206" i="1"/>
  <c r="E205" i="1"/>
  <c r="D205" i="1"/>
  <c r="E204" i="1"/>
  <c r="D204" i="1"/>
  <c r="E203" i="1"/>
  <c r="D203" i="1"/>
  <c r="E202" i="1"/>
  <c r="D202" i="1"/>
  <c r="E201" i="1"/>
  <c r="D201" i="1"/>
  <c r="E200" i="1"/>
  <c r="D200" i="1"/>
  <c r="E199" i="1"/>
  <c r="D199" i="1"/>
  <c r="E198" i="1"/>
  <c r="D198" i="1"/>
  <c r="E197" i="1"/>
  <c r="D197" i="1"/>
  <c r="E196" i="1"/>
  <c r="D196" i="1"/>
  <c r="E195" i="1"/>
  <c r="D195" i="1"/>
  <c r="E194" i="1"/>
  <c r="D194" i="1"/>
  <c r="E193" i="1"/>
  <c r="D193" i="1"/>
  <c r="E192" i="1"/>
  <c r="D192" i="1"/>
  <c r="E191" i="1"/>
  <c r="D191" i="1"/>
  <c r="E190" i="1"/>
  <c r="D190" i="1"/>
  <c r="E189" i="1"/>
  <c r="D189" i="1"/>
  <c r="E188" i="1"/>
  <c r="D188" i="1"/>
  <c r="E187" i="1"/>
  <c r="D187" i="1"/>
  <c r="E186" i="1"/>
  <c r="D186" i="1"/>
  <c r="E185" i="1"/>
  <c r="D185" i="1"/>
  <c r="E184" i="1"/>
  <c r="D184" i="1"/>
  <c r="E183" i="1"/>
  <c r="D183" i="1"/>
  <c r="E182" i="1"/>
  <c r="D182" i="1"/>
  <c r="E181" i="1"/>
  <c r="D181" i="1"/>
  <c r="E180" i="1"/>
  <c r="D180" i="1"/>
  <c r="E179" i="1"/>
  <c r="D179" i="1"/>
  <c r="E178" i="1"/>
  <c r="D178" i="1"/>
  <c r="E177" i="1"/>
  <c r="D177" i="1"/>
  <c r="E176" i="1"/>
  <c r="D176" i="1"/>
  <c r="E175" i="1"/>
  <c r="D175" i="1"/>
  <c r="E174" i="1"/>
  <c r="D174" i="1"/>
  <c r="E173" i="1"/>
  <c r="D173" i="1"/>
  <c r="E172" i="1"/>
  <c r="D172" i="1"/>
  <c r="E171" i="1"/>
  <c r="D171" i="1"/>
  <c r="E170" i="1"/>
  <c r="D170" i="1"/>
  <c r="E169" i="1"/>
  <c r="D169" i="1"/>
  <c r="E168" i="1"/>
  <c r="D168" i="1"/>
  <c r="E167" i="1"/>
  <c r="D167" i="1"/>
  <c r="E166" i="1"/>
  <c r="D166" i="1"/>
  <c r="E165" i="1"/>
  <c r="D165" i="1"/>
  <c r="E164" i="1"/>
  <c r="D164" i="1"/>
  <c r="E163" i="1"/>
  <c r="D163" i="1"/>
  <c r="E162" i="1"/>
  <c r="D162" i="1"/>
  <c r="E161" i="1"/>
  <c r="D161" i="1"/>
  <c r="E160" i="1"/>
  <c r="D160" i="1"/>
  <c r="E159" i="1"/>
  <c r="D159" i="1"/>
  <c r="E158" i="1"/>
  <c r="D158" i="1"/>
  <c r="E157" i="1"/>
  <c r="D157" i="1"/>
  <c r="E156" i="1"/>
  <c r="D156" i="1"/>
  <c r="E155" i="1"/>
  <c r="D155" i="1"/>
  <c r="E154" i="1"/>
  <c r="D154" i="1"/>
  <c r="E153" i="1"/>
  <c r="D153" i="1"/>
  <c r="E152" i="1"/>
  <c r="D152" i="1"/>
  <c r="E151" i="1"/>
  <c r="D151" i="1"/>
  <c r="E150" i="1"/>
  <c r="D150" i="1"/>
  <c r="E149" i="1"/>
  <c r="D149" i="1"/>
  <c r="E148" i="1"/>
  <c r="D148" i="1"/>
  <c r="E147" i="1"/>
  <c r="D147" i="1"/>
  <c r="E146" i="1"/>
  <c r="D146" i="1"/>
  <c r="E145" i="1"/>
  <c r="D145" i="1"/>
  <c r="E144" i="1"/>
  <c r="D144" i="1"/>
  <c r="E143" i="1"/>
  <c r="D143" i="1"/>
  <c r="E142" i="1"/>
  <c r="D142" i="1"/>
  <c r="E141" i="1"/>
  <c r="D141" i="1"/>
  <c r="E140" i="1"/>
  <c r="D140" i="1"/>
  <c r="E139" i="1"/>
  <c r="D139" i="1"/>
  <c r="E138" i="1"/>
  <c r="D138" i="1"/>
  <c r="E137" i="1"/>
  <c r="D137" i="1"/>
  <c r="E136" i="1"/>
  <c r="D136" i="1"/>
  <c r="E135" i="1"/>
  <c r="D135" i="1"/>
  <c r="E134" i="1"/>
  <c r="D134" i="1"/>
  <c r="E133" i="1"/>
  <c r="D133" i="1"/>
  <c r="E132" i="1"/>
  <c r="D132" i="1"/>
  <c r="E131" i="1"/>
  <c r="D131" i="1"/>
  <c r="E130" i="1"/>
  <c r="D130" i="1"/>
  <c r="E129" i="1"/>
  <c r="D129" i="1"/>
  <c r="E128" i="1"/>
  <c r="D128" i="1"/>
  <c r="E127" i="1"/>
  <c r="D127" i="1"/>
  <c r="E126" i="1"/>
  <c r="D126" i="1"/>
  <c r="E125" i="1"/>
  <c r="D125" i="1"/>
  <c r="E124" i="1"/>
  <c r="D124" i="1"/>
  <c r="E123" i="1"/>
  <c r="D123" i="1"/>
  <c r="E122" i="1"/>
  <c r="D122" i="1"/>
  <c r="E121" i="1"/>
  <c r="D121" i="1"/>
  <c r="E120" i="1"/>
  <c r="D120" i="1"/>
  <c r="E119" i="1"/>
  <c r="D119" i="1"/>
  <c r="E118" i="1"/>
  <c r="D118" i="1"/>
  <c r="E117" i="1"/>
  <c r="D117" i="1"/>
  <c r="E116" i="1"/>
  <c r="D116" i="1"/>
  <c r="E115" i="1"/>
  <c r="D115" i="1"/>
  <c r="E114" i="1"/>
  <c r="D114" i="1"/>
  <c r="E113" i="1"/>
  <c r="D113" i="1"/>
  <c r="E112" i="1"/>
  <c r="D112" i="1"/>
  <c r="E111" i="1"/>
  <c r="D111" i="1"/>
  <c r="E110" i="1"/>
  <c r="D110" i="1"/>
  <c r="E109" i="1"/>
  <c r="D109" i="1"/>
  <c r="E108" i="1"/>
  <c r="D108" i="1"/>
  <c r="E107" i="1"/>
  <c r="D107" i="1"/>
  <c r="E106" i="1"/>
  <c r="D106" i="1"/>
  <c r="E105" i="1"/>
  <c r="D105" i="1"/>
  <c r="E104" i="1"/>
  <c r="D104" i="1"/>
  <c r="E103" i="1"/>
  <c r="D103" i="1"/>
  <c r="E102" i="1"/>
  <c r="D102" i="1"/>
  <c r="E101" i="1"/>
  <c r="D101" i="1"/>
  <c r="E100" i="1"/>
  <c r="D100" i="1"/>
  <c r="E99" i="1"/>
  <c r="D99" i="1"/>
  <c r="E98" i="1"/>
  <c r="D98" i="1"/>
  <c r="E97" i="1"/>
  <c r="D97" i="1"/>
  <c r="E96" i="1"/>
  <c r="D96" i="1"/>
  <c r="E95" i="1"/>
  <c r="D95" i="1"/>
  <c r="E94" i="1"/>
  <c r="D94" i="1"/>
  <c r="E93" i="1"/>
  <c r="D93" i="1"/>
  <c r="E92" i="1"/>
  <c r="D92" i="1"/>
  <c r="E91" i="1"/>
  <c r="D91" i="1"/>
  <c r="E90" i="1"/>
  <c r="D90" i="1"/>
  <c r="E89" i="1"/>
  <c r="D89" i="1"/>
  <c r="E88" i="1"/>
  <c r="D88" i="1"/>
  <c r="E87" i="1"/>
  <c r="D87" i="1"/>
  <c r="E86" i="1"/>
  <c r="D86" i="1"/>
  <c r="E85" i="1"/>
  <c r="D85" i="1"/>
  <c r="E84" i="1"/>
  <c r="D84" i="1"/>
  <c r="E83" i="1"/>
  <c r="D83" i="1"/>
  <c r="E82" i="1"/>
  <c r="D82" i="1"/>
  <c r="E81" i="1"/>
  <c r="D81" i="1"/>
  <c r="E80" i="1"/>
  <c r="D80" i="1"/>
  <c r="E79" i="1"/>
  <c r="D79" i="1"/>
  <c r="E78" i="1"/>
  <c r="D78" i="1"/>
  <c r="E77" i="1"/>
  <c r="D77" i="1"/>
  <c r="E76" i="1"/>
  <c r="D76" i="1"/>
  <c r="E75" i="1"/>
  <c r="D75" i="1"/>
  <c r="E74" i="1"/>
  <c r="D74" i="1"/>
  <c r="E73" i="1"/>
  <c r="D73" i="1"/>
  <c r="E72" i="1"/>
  <c r="D72" i="1"/>
  <c r="E71" i="1"/>
  <c r="D71" i="1"/>
  <c r="E70" i="1"/>
  <c r="D70" i="1"/>
  <c r="E69" i="1"/>
  <c r="D69" i="1"/>
  <c r="E68" i="1"/>
  <c r="D68" i="1"/>
  <c r="E67" i="1"/>
  <c r="D67" i="1"/>
  <c r="E66" i="1"/>
  <c r="D66" i="1"/>
  <c r="E65" i="1"/>
  <c r="D65" i="1"/>
  <c r="E64" i="1"/>
  <c r="D64" i="1"/>
  <c r="E63" i="1"/>
  <c r="D63" i="1"/>
  <c r="E62" i="1"/>
  <c r="D62" i="1"/>
  <c r="E61" i="1"/>
  <c r="D61" i="1"/>
  <c r="E60" i="1"/>
  <c r="D60" i="1"/>
  <c r="E59" i="1"/>
  <c r="D59" i="1"/>
  <c r="E58" i="1"/>
  <c r="D58" i="1"/>
  <c r="E57" i="1"/>
  <c r="D57" i="1"/>
  <c r="E56" i="1"/>
  <c r="D56" i="1"/>
  <c r="E55" i="1"/>
  <c r="D55" i="1"/>
  <c r="E54" i="1"/>
  <c r="D54" i="1"/>
  <c r="E53" i="1"/>
  <c r="D53" i="1"/>
  <c r="E52" i="1"/>
  <c r="D52" i="1"/>
  <c r="E51" i="1"/>
  <c r="D51" i="1"/>
  <c r="E50" i="1"/>
  <c r="D50" i="1"/>
  <c r="E49" i="1"/>
  <c r="D49" i="1"/>
  <c r="E48" i="1"/>
  <c r="D48" i="1"/>
  <c r="E47" i="1"/>
  <c r="D47" i="1"/>
  <c r="E46" i="1"/>
  <c r="D46" i="1"/>
  <c r="E45" i="1"/>
  <c r="D45" i="1"/>
  <c r="E44" i="1"/>
  <c r="D44" i="1"/>
  <c r="E43" i="1"/>
  <c r="D43" i="1"/>
  <c r="E42" i="1"/>
  <c r="D42" i="1"/>
  <c r="E41" i="1"/>
  <c r="D41" i="1"/>
  <c r="E40" i="1"/>
  <c r="D40" i="1"/>
  <c r="E39" i="1"/>
  <c r="D39" i="1"/>
  <c r="E38" i="1"/>
  <c r="D38" i="1"/>
  <c r="E37" i="1"/>
  <c r="D37" i="1"/>
  <c r="E36" i="1"/>
  <c r="D36" i="1"/>
  <c r="E35" i="1"/>
  <c r="D35" i="1"/>
  <c r="E34" i="1"/>
  <c r="D34" i="1"/>
  <c r="E33" i="1"/>
  <c r="D33" i="1"/>
  <c r="E32" i="1"/>
  <c r="D32" i="1"/>
  <c r="E31" i="1"/>
  <c r="D31" i="1"/>
  <c r="E30" i="1"/>
  <c r="D30" i="1"/>
  <c r="E29" i="1"/>
  <c r="D29" i="1"/>
  <c r="E28" i="1"/>
  <c r="D28" i="1"/>
  <c r="E27" i="1"/>
  <c r="D27" i="1"/>
  <c r="E26" i="1"/>
  <c r="D26" i="1"/>
  <c r="E25" i="1"/>
  <c r="D25" i="1"/>
  <c r="E24" i="1"/>
  <c r="D24" i="1"/>
  <c r="E23" i="1"/>
  <c r="D23" i="1"/>
  <c r="E22" i="1"/>
  <c r="D22" i="1"/>
  <c r="E21" i="1"/>
  <c r="D21" i="1"/>
  <c r="E20" i="1"/>
  <c r="D20" i="1"/>
  <c r="E19" i="1"/>
  <c r="D19" i="1"/>
  <c r="E18" i="1"/>
  <c r="D18" i="1"/>
  <c r="E17" i="1"/>
  <c r="D17" i="1"/>
  <c r="E16" i="1"/>
  <c r="D16" i="1"/>
  <c r="E15" i="1"/>
  <c r="D15" i="1"/>
  <c r="E14" i="1"/>
  <c r="D14" i="1"/>
  <c r="E13" i="1"/>
  <c r="D13" i="1"/>
  <c r="E12" i="1"/>
  <c r="D12" i="1"/>
  <c r="E11" i="1"/>
  <c r="D11" i="1"/>
  <c r="E10" i="1"/>
  <c r="D10" i="1"/>
  <c r="E9" i="1"/>
  <c r="D9" i="1"/>
</calcChain>
</file>

<file path=xl/sharedStrings.xml><?xml version="1.0" encoding="utf-8"?>
<sst xmlns="http://schemas.openxmlformats.org/spreadsheetml/2006/main" count="6392" uniqueCount="2678">
  <si>
    <t>Grand domaine</t>
  </si>
  <si>
    <t>Intitulé de la certification</t>
  </si>
  <si>
    <t>Organismes certificateurs</t>
  </si>
  <si>
    <t>Lien vers Inventaire</t>
  </si>
  <si>
    <t>Lien vers Certif Info</t>
  </si>
  <si>
    <t>Date de création dans Certif Info</t>
  </si>
  <si>
    <t>Date de mise à jour dans Certif Info</t>
  </si>
  <si>
    <t>Action sociale</t>
  </si>
  <si>
    <t>Accompagnement et pratiques en éducation nouvelle, éducation et citoyenneté</t>
  </si>
  <si>
    <t>Association Nationale pour le développement de l'éducation Nouvelle, Institut des ressources en intervention sociale (IRIS)</t>
  </si>
  <si>
    <t>Accompagnement social des habitants</t>
  </si>
  <si>
    <t>Association pour la formation professionnelle continue des organismes de logement social (AFPOLS)</t>
  </si>
  <si>
    <t>Accueil, accompagnement et éducation des jeunes enfants en situation de handicap dans le milieu ordinaire</t>
  </si>
  <si>
    <t>Institut des ressources en intervention sociale (IRIS)</t>
  </si>
  <si>
    <t>Attestation de formation à l'éducation thérapeutique du patient (ETP)</t>
  </si>
  <si>
    <t>Institut du thermalisme de l'université de Bordeaux</t>
  </si>
  <si>
    <t>Certificat d'animateur prévention du secteur de l'hébergement et de l'accueil des personnes âgées (Certificat AP-Hapa)</t>
  </si>
  <si>
    <t>Institut national de recherche et de sécurité</t>
  </si>
  <si>
    <t>Certificat de capacité à intégrer la médiation culturelle à une pratique professionnelle d'accompagnement social</t>
  </si>
  <si>
    <t>Cultures du Coeur</t>
  </si>
  <si>
    <t>Certificat de capacité à intégrer l'éveil culturel et artistique des enfants à sa pratique professionnelle</t>
  </si>
  <si>
    <t>Enfance et musique</t>
  </si>
  <si>
    <t>Certificat de capacité à la conception et à la mise en oeuvre d'un atelier d'éveil culturel et artistique pour enfants</t>
  </si>
  <si>
    <t>Certification de Référent Qualité dans les Etablissements sociaux et médico sociaux.</t>
  </si>
  <si>
    <t>Association Rhône-Alpes de formation des cadres de direction d'établissements sociaux (ARAFDES)</t>
  </si>
  <si>
    <t>Certification des Responsables de MARPA (Maison d'Accueil et de Résidences pour l'Autonomie) et de Résidences autonomies</t>
  </si>
  <si>
    <t>Caisse Centrale de la Mutualité Sociale Agricole (CCMSA)</t>
  </si>
  <si>
    <t>Diriger et gérer un établissement d'accueil de jeunes enfants</t>
  </si>
  <si>
    <t>GEM Formation Conseil</t>
  </si>
  <si>
    <t>DU la musique et le tout-petit, la musique et l'enfant en situation de handicap</t>
  </si>
  <si>
    <t>Université François Rabelais - Tours</t>
  </si>
  <si>
    <t>Réaliser des interventions de médiation sociale</t>
  </si>
  <si>
    <t>France Médiation</t>
  </si>
  <si>
    <t>Recherche-action, Etude et projet social</t>
  </si>
  <si>
    <t>Collège coopératif de Bretagne / Université Rennes 2</t>
  </si>
  <si>
    <t>Unité capitalisable complémentaire de direction d'un Accueil Collectif de Mineurs</t>
  </si>
  <si>
    <t>Ministère des sports</t>
  </si>
  <si>
    <t>Activité physique et sportive</t>
  </si>
  <si>
    <t>Brevet d'État d'alpinisme - diplôme d'accompagnateur en moyenne montagne</t>
  </si>
  <si>
    <t>Brevet et licence de parachutiste professionnel</t>
  </si>
  <si>
    <t>Direction générale de l'aviation civile</t>
  </si>
  <si>
    <t>Brevet fédéral d'encadrement équi-handi</t>
  </si>
  <si>
    <t>Fédération française d'équitation</t>
  </si>
  <si>
    <t>Brevet Fédéral d'Encadrement Equi-Social</t>
  </si>
  <si>
    <t>Brevet Fédéral d'Encadrement Equitation Travail à Pied Niveau 1</t>
  </si>
  <si>
    <t>Brevet Fédéral d'Encadrement Equitation Travail à Pied Niveau 2</t>
  </si>
  <si>
    <t>Brevet Fédéral d'Encadrement Initiation Poney et Cheval</t>
  </si>
  <si>
    <t>Brevet Fédéral d'Encadrement Spectacle Equestre de Club niveau 1</t>
  </si>
  <si>
    <t>Brevet Fédéral d'Encadrement Spectacle Equestre de Club niveau 2</t>
  </si>
  <si>
    <t>Brevet fédéral d'entraîneur sport équestre - Niveau 1</t>
  </si>
  <si>
    <t>Brevet fédéral d'entraîneur sport équestre - Niveau 2</t>
  </si>
  <si>
    <t>Certificat complémentaire plongée profonde et tutorat</t>
  </si>
  <si>
    <t>Certificat d'aptitude à l'exercice de la profession de maître nageur sauveteur (CAEPMNS)</t>
  </si>
  <si>
    <t>Certificat de capacité de préparateur physique</t>
  </si>
  <si>
    <t>Institut national du sport, de l'expertise et de la performance</t>
  </si>
  <si>
    <t>Certificat de capacité de préparateur physique en rugby</t>
  </si>
  <si>
    <t>Fédération française de rugby (FFR)</t>
  </si>
  <si>
    <t>Certificat de spécialisation croisière</t>
  </si>
  <si>
    <t>Ministère des sports, École de v­oile des Gl­énans, École nati­onale de vo­ile et des ­sports naut­iques</t>
  </si>
  <si>
    <t>Diplôme d'État d'alpinisme - accompagnateur en moyenne montagne option moyenne montagne enneigée</t>
  </si>
  <si>
    <t>Ministère des sports, École Nationale des Sports de Montagne</t>
  </si>
  <si>
    <t>Diplôme d'État d'alpinisme - accompagnateur en moyenne montagne option moyenne montagne tropicale et équatoriale</t>
  </si>
  <si>
    <t>Diplôme d'Etat d'alpinisme - guide de haute montagne</t>
  </si>
  <si>
    <t>Diplôme universitaire européen de préparation physique (DUEPP)</t>
  </si>
  <si>
    <t>Université Claude Bernard - Lyon 1</t>
  </si>
  <si>
    <t>Management d'une carrière de sportif professionnel (DU)</t>
  </si>
  <si>
    <t>Université de Strasbourg</t>
  </si>
  <si>
    <t>Personal Trainer (DU PT)</t>
  </si>
  <si>
    <t>Agriculture, agro-alimentaire</t>
  </si>
  <si>
    <t>Attestation de formation sécurité pour les personnels embarqués sur des navires armés à la petite pêche ou à la pêche côtière de longueur inférieure à 12 mètres</t>
  </si>
  <si>
    <t>Ministère de la transition écologique et solidaire</t>
  </si>
  <si>
    <t>Audit externe de laboratoire de biologie médicale</t>
  </si>
  <si>
    <t>Bio Qualité Formation</t>
  </si>
  <si>
    <t>Audit interne de laboratoire de biologie médicale</t>
  </si>
  <si>
    <t>Auditeur ICA sécurité des denrées alimentaires</t>
  </si>
  <si>
    <t>AFNOR</t>
  </si>
  <si>
    <t>Brevet Fédéral d'Encadrement d'Equitation Ethologique niveau 1</t>
  </si>
  <si>
    <t>Brevet Fédéral d'Encadrement d'Equitation Ethologique niveau 2</t>
  </si>
  <si>
    <t>Certificat Bases pour l'analyste de semences</t>
  </si>
  <si>
    <t>Ministère de l'agriculture et de l'alimentation</t>
  </si>
  <si>
    <t>Certificat d'agroéquipement viticole</t>
  </si>
  <si>
    <t>Corporation des Vignerons de Champagne</t>
  </si>
  <si>
    <t>Certificat d'analyse sensorielle des vins de Bourgogne</t>
  </si>
  <si>
    <t>Ecole des vins de Bourgogne</t>
  </si>
  <si>
    <t>Certificat d'analyste sénior de semences</t>
  </si>
  <si>
    <t>Certificat d'aptitude à la taille de la vigne</t>
  </si>
  <si>
    <t>Certificat d'aptitude au greffage de la vigne</t>
  </si>
  <si>
    <t>Certificat d'aptitude aux fonctions de chef de centre d'insémination artificielle dans les espèces équine et asine</t>
  </si>
  <si>
    <t>Certificat d'aptitude aux fonctions de technicien d'insémination dans les espèces bovine, caprine et ovine</t>
  </si>
  <si>
    <t>Certificat d'aptitude aux fonctions d'inséminateur dans les espèces équine et asine</t>
  </si>
  <si>
    <t>Certificat de capacité à animer en agroécologie</t>
  </si>
  <si>
    <t>Terre et humanisme</t>
  </si>
  <si>
    <t>Certificat de compétence en biotechnologies et production de protéines thérapeutiques</t>
  </si>
  <si>
    <t>Ecole nationale supérieure de technologie des biomolécules de Bordeaux (ENSTBB)  / Institut polytechnique de Bordeaux</t>
  </si>
  <si>
    <t>Certificat de compétence en microbiologie industrielle et fermentation</t>
  </si>
  <si>
    <t>Certificat de compétence pour la protection des animaux dans le cadre de leur mise à mort</t>
  </si>
  <si>
    <t>Ministère de l'agriculture et de l'alimentation, ADIV Développement, ADOFIA, ALIQUA, Astec IAA, Avipôle formation, Centre de formation professionnelle et de promotion agricole du Gers, DEFI Formation - Groupe Fitec, Duc, Ecole des métiers BIGARD - EMB, IFIP Institut de porc, Institut de formation des métiers du secteur associatif juif (SIF), Institut de l'élevage, Institut supérieur des productions animales et des industries agroalimentaires, Josselin Porc Abattage, Liber Garcia Labady  Marleni, Marc LE MÉZO, RCServices - Groupe Cristal, RG Consulting France, SDBF, Sécuriteam, SOCSA Agroalimentaire, SVA Jean ROZÉ, Zoopôle Développement</t>
  </si>
  <si>
    <t>Certificat de marin-ouvrier aux cultures marines - niveau 1</t>
  </si>
  <si>
    <t>Certificat de marin-ouvrier aux cultures marines - niveau 2</t>
  </si>
  <si>
    <t>Certificat de patron de navire aux cultures marines - niveau 1</t>
  </si>
  <si>
    <t>Certificat de patron de navire aux cultures marines - niveau 2</t>
  </si>
  <si>
    <t>Certificat individuel pour l'activité "utilisation à titre professionnel des produits phytopharmaceutiques" catégories "applicateur" et "applicateur opérationnel"</t>
  </si>
  <si>
    <t>Ministère de l'agriculture, de l'agroalimentaire et de la forêt</t>
  </si>
  <si>
    <t>Certificat individuel pour l'activité "utilisation à titre professionnel des produits phytopharmaceutiques" catégories "décideur en exploitation agricole" et "opérateur en exploitation agricole"</t>
  </si>
  <si>
    <t>Certificat individuel pour l'activité "utilisation à titre professionnel des produits phytopharmaceutiques" catégories "décideur en travaux et services" et "opérateur en travaux et services"</t>
  </si>
  <si>
    <t>Certificat individuel pour l'activité professionnelle "mise en vente, vente des produits phytopharmaceutiques"</t>
  </si>
  <si>
    <t>Certificat individuel pour l'activité professionnelle conseil à l'utilisation des produits phytopharmaceutiques</t>
  </si>
  <si>
    <t>Certificat individuel pour l'activité professionnelle mise en vente, vente des produits phytopharmaceutiques</t>
  </si>
  <si>
    <t>Certificat individuel pour l'activité professionnelle mise en vente, vente des produits phytopharmaceutiques catégorie distribution produits professionnels</t>
  </si>
  <si>
    <t>Certificat individuel pour l'activité professionnelle mise en vente, vente des produits phytopharmaceutiques catégorie produits grand public</t>
  </si>
  <si>
    <t>Certificat individuel pour l'activité utilisation à titre professionnel des produits phytopharmaceutiques catégorie applicateur en collectivités territoriales</t>
  </si>
  <si>
    <t>Certificat individuel pour l'activité utilisation à titre professionnel des produits phytopharmaceutiques catégorie applicateur opérationnel en collectivités territoriales</t>
  </si>
  <si>
    <t>Certificat individuel pour l'activité utilisation à titre professionnel des produits phytopharmaceutiques catégorie décideur en entreprise non soumise à agrément</t>
  </si>
  <si>
    <t>Certificat individuel pour l'activité utilisation à titre professionnel des produits phytopharmaceutiques catégorie décideur en entreprise soumise à agrément</t>
  </si>
  <si>
    <t>Certificat individuel pour l'activité utilisation à titre professionnel des produits phytopharmaceutiques catégorie décideur en exploitation agricole</t>
  </si>
  <si>
    <t>Certificat individuel pour l'activité utilisation à titre professionnel des produits phytopharmaceutiques catégorie décideur en travaux et services</t>
  </si>
  <si>
    <t>Certificat individuel pour l'activité utilisation à titre professionnel des produits phytopharmaceutiques catégorie opérateur</t>
  </si>
  <si>
    <t>Certificat individuel pour l'activité utilisation à titre professionnel des produits phytopharmaceutiques catégorie opérateur en exploitation agricole</t>
  </si>
  <si>
    <t>Certificat individuel pour l'activité utilisation à titre professionnel des produits phytopharmaceutiques catégorie opérateur en travaux et services</t>
  </si>
  <si>
    <t>Certificat professionnel individuel d'éleveur de poulets de chair</t>
  </si>
  <si>
    <t>Certification en vins et spiritueux français niveau 1</t>
  </si>
  <si>
    <t>Ecole du Vin de France</t>
  </si>
  <si>
    <t>Certification en vins et spiritueux français niveau 2</t>
  </si>
  <si>
    <t>Certification en vins et spiritueux français niveau 3</t>
  </si>
  <si>
    <t>Certification French Wine Scholar</t>
  </si>
  <si>
    <t>Wine Scholar Guild</t>
  </si>
  <si>
    <t>Compétences relationnelles pour les services à la personne dans le secteur du paysage</t>
  </si>
  <si>
    <t>Qualipaysage</t>
  </si>
  <si>
    <t>Cycle métier biscuiterie</t>
  </si>
  <si>
    <t>Alliance 7 Services</t>
  </si>
  <si>
    <t>Cycle métier chocolaterie</t>
  </si>
  <si>
    <t>Cycle métier confiserie</t>
  </si>
  <si>
    <t>DU éthique, bien-être et droit du cheval</t>
  </si>
  <si>
    <t>Haras de la Cence, Université Paris Descartes - Paris 5</t>
  </si>
  <si>
    <t>DU gestion et management d'une entreprise vitivinicole</t>
  </si>
  <si>
    <t>Ministère de l'enseignement supérieur, de la recherche et de l'innovation, Université François Rabelais - Tours</t>
  </si>
  <si>
    <t>Formation en gestion d'entreprise forestière</t>
  </si>
  <si>
    <t>Formation oenologie VOG académique</t>
  </si>
  <si>
    <t>Prodégustation, Club français du vin, Ecole des Vins AdVini</t>
  </si>
  <si>
    <t>Pilotage de processus en laboratoire de biologie médicale</t>
  </si>
  <si>
    <t>WSET niveau 1</t>
  </si>
  <si>
    <t>Wine &amp; Spirit Education Trust</t>
  </si>
  <si>
    <t>WSET niveau 2</t>
  </si>
  <si>
    <t>WSET niveau 3</t>
  </si>
  <si>
    <t>Art</t>
  </si>
  <si>
    <t>Accompagner les artistes du chant dans leur travail de création et d'interprétation</t>
  </si>
  <si>
    <t>Harmoniques</t>
  </si>
  <si>
    <t>Certificat de capacité à la lecture à haute voix</t>
  </si>
  <si>
    <t>Compagnie des nuits d'Auteurs</t>
  </si>
  <si>
    <t>Certificat de compétences aux techniques des enduits</t>
  </si>
  <si>
    <t>Les temps d'art</t>
  </si>
  <si>
    <t>Certificat de compétences aux techniques du trompe-l'oeil</t>
  </si>
  <si>
    <t>Certificat de compétences de concepteur et créateur d'ambiances</t>
  </si>
  <si>
    <t>Certification en dessin artistique - maîtrise des outils et techniques</t>
  </si>
  <si>
    <t>Lézard créatif</t>
  </si>
  <si>
    <t>Certification en peinture acrylique - maîtrise des outils et techniques</t>
  </si>
  <si>
    <t>Développer un projet de production ou de diffusion dans les musiques actuelles</t>
  </si>
  <si>
    <t>Association trempolino</t>
  </si>
  <si>
    <t>Élaborer et promouvoir un projet artistique et d'action culturelle dans le secteur de la musique</t>
  </si>
  <si>
    <t>Cité de la musique - Philharmonie de Paris</t>
  </si>
  <si>
    <t>Encadrer un groupe de pratiques vocales collectives en musiques actuelles</t>
  </si>
  <si>
    <t>Plate-forme interrégionale d'échanges et de coopération pour le développement culturel</t>
  </si>
  <si>
    <t>Techniques de la voix-off et du doublage</t>
  </si>
  <si>
    <t>Institut des métiers du doublage et de l'audiovisiuel</t>
  </si>
  <si>
    <t>Techniques vocales du chanteur</t>
  </si>
  <si>
    <t>Artisanat art</t>
  </si>
  <si>
    <t>Certificat de compétences aux techniques de la dorure</t>
  </si>
  <si>
    <t>Certificat de compétences aux techniques de la tapisserie en sièges</t>
  </si>
  <si>
    <t>Certification en décor peint</t>
  </si>
  <si>
    <t>Institut des Décors Peints</t>
  </si>
  <si>
    <t>Sécurité des produits des industries du jouet et de la puériculture</t>
  </si>
  <si>
    <t>FCBA - Institut technologique, Groupe SGS France, Laboratoire national de métrologie et d'essais, UTAC CERAM</t>
  </si>
  <si>
    <t>Automatisme informatique industrielle</t>
  </si>
  <si>
    <t>Conception et mise en oeuvre de fonctions de régulation dans un PLC (Programmable Logic Controller)</t>
  </si>
  <si>
    <t>Schneider Electric France - Energy Training</t>
  </si>
  <si>
    <t>Conception et mise en oeuvre d'une application IHM (Interface Homme - Machine)</t>
  </si>
  <si>
    <t>Conception, programmation et exploitation avancée des commandes d'axes haute performance associées aux métiers industriels</t>
  </si>
  <si>
    <t>Conception, programmation et exploitation basique des commandes d'axes haute performance associées aux métiers industriels</t>
  </si>
  <si>
    <t>Construction, paramétrage et mise en oeuvre d'architectures d'automatismes à base de PAC (Programmable Automation Controller)</t>
  </si>
  <si>
    <t>Exploitation et dépannage d'une application équipée d'un variateur de vitesse</t>
  </si>
  <si>
    <t>Exploitation et maintenance d'une application IHM (Interface Homme - Machine)</t>
  </si>
  <si>
    <t>Exploitation et mise en oeuvre avancée d'un variateur pour une application à couple constant</t>
  </si>
  <si>
    <t>Exploitation et mise en oeuvre avancée d'un variateur pour une application à couple variable</t>
  </si>
  <si>
    <t>Exploitation et mise en oeuvre basique d'un variateur pour une application à couple constant</t>
  </si>
  <si>
    <t>Exploitation et mise en oeuvre basique d'un variateur pour une application à couple variable</t>
  </si>
  <si>
    <t>IACS (Industrial Automation Control System) - Cyber-sécurité des Systèmes de Contrôle-Commande Industriel</t>
  </si>
  <si>
    <t>Institut de Régulation et Automation</t>
  </si>
  <si>
    <t>IACS (Industrial Automation Control System) spécialité Contrôle-Commande de Sécurité</t>
  </si>
  <si>
    <t>IACS (Industrial Automation Control System) spécialité Instrumentation</t>
  </si>
  <si>
    <t>IACS (Industrial Automation Control System) spécialité Régulation</t>
  </si>
  <si>
    <t>IACS (Industrial Automation Control System) spécialités Automatismes</t>
  </si>
  <si>
    <t>Les bonnes pratiques de la supervision</t>
  </si>
  <si>
    <t>Toptech</t>
  </si>
  <si>
    <t>Maintenance et dépannage mécanique des axes linéaires</t>
  </si>
  <si>
    <t>Maintenance et exploitation avancée des commandes d'axes haute performance, associées aux métiers industriels</t>
  </si>
  <si>
    <t>Maintenance et exploitation basique des commandes d'axes haute performance, associées aux métiers industriels</t>
  </si>
  <si>
    <t>Maintien en condition opérationnelle d'un automate programmable</t>
  </si>
  <si>
    <t>Migration de programme d'une commande d'axes haute performance ancienne génération vers la nouvelle offre</t>
  </si>
  <si>
    <t>Mise oeuvre, programmation et exploitation du fonctionnement d'une commande de mouvement autonome</t>
  </si>
  <si>
    <t>Programmation des fonctions avancées d'un contrôleur programmable dédié aux automatismes de machines et machines spéciales</t>
  </si>
  <si>
    <t>Programmation des fonctions avancées d'un PLC</t>
  </si>
  <si>
    <t>Programmation des fonctions avancées d'un SCADA (Supervisory Control and Data Acquisition)</t>
  </si>
  <si>
    <t>Programmation des fonctions basiques d'un contrôleur programmable dédié aux automatismes de machines et machines spéciales</t>
  </si>
  <si>
    <t>Programmation des fonctions basiques d'un PLC</t>
  </si>
  <si>
    <t>Programmation des fonctions basiques d'un SCADA (Supervisory Control and Data Acquisition)</t>
  </si>
  <si>
    <t>Programmation et mise en oeuvre d'un automatisme redondant à base de PAC (Programmable Automation Controller)</t>
  </si>
  <si>
    <t>Banque assurance</t>
  </si>
  <si>
    <t>Analyse des risques de l'entreprise</t>
  </si>
  <si>
    <t>École supérieure d'assurances</t>
  </si>
  <si>
    <t>Analyser les demandes de crédit, proposer des solutions et évaluer les risques</t>
  </si>
  <si>
    <t>CPNE de la banque</t>
  </si>
  <si>
    <t>Assurance et gestion de patrimoine</t>
  </si>
  <si>
    <t>Institut de formation de la profession de l'assurance (IFPASS)</t>
  </si>
  <si>
    <t>Assurance et risques complexes d'entreprise</t>
  </si>
  <si>
    <t>Assurance et risques complexes du particulier</t>
  </si>
  <si>
    <t>Assurance et risques standards IARD du particulier</t>
  </si>
  <si>
    <t>Assurance vie individuelle</t>
  </si>
  <si>
    <t>Capacité professionnelle des salariés commerciaux dans les sociétés d'assurances (livret de stage niveau I)</t>
  </si>
  <si>
    <t>Ministère de l'économie et des finances</t>
  </si>
  <si>
    <t>Capacité professionnelle des salariés commerciaux dans les sociétés d'assurances (livret de stage niveau II)</t>
  </si>
  <si>
    <t>Certificat assurance et risques construction</t>
  </si>
  <si>
    <t>Certificat bancaire de gestion de clientèles professionnelles</t>
  </si>
  <si>
    <t>Evocime formations banque et assurance</t>
  </si>
  <si>
    <t>Certificat de compétence EEA</t>
  </si>
  <si>
    <t>Centre national de la prévention et de la protection (CNPP)</t>
  </si>
  <si>
    <t>Certificat de gestion actif passif (Asset Liability Management)</t>
  </si>
  <si>
    <t>Association Française des Gestionnaires Actif-Passif (AFGAP), Groupe des Écoles Nationales d'Économie et Statistique (Genes), Ensae Ensai formation continue (Cepe)</t>
  </si>
  <si>
    <t>Certificat Digital Assurance</t>
  </si>
  <si>
    <t>Comité paritaire national pour la formation professionnelle et l'emploi des sociétés d'assurances</t>
  </si>
  <si>
    <t>Certificat gestion de la relation client</t>
  </si>
  <si>
    <t>Certificat inspection incendie - maîtriser la prévention, les risques et assurances incendie/explosion</t>
  </si>
  <si>
    <t>Certificat Relation clientèle et services bancaires</t>
  </si>
  <si>
    <t>Centre de formation de la profession bancaire (CFPB)</t>
  </si>
  <si>
    <t>Certification Culture bancaire</t>
  </si>
  <si>
    <t>Certification Directive Crédit Immobilier (DCI)</t>
  </si>
  <si>
    <t>Certification en Analyse Financière - Chartered Financial Analyst (CFA)</t>
  </si>
  <si>
    <t>CFA Institute</t>
  </si>
  <si>
    <t>Certification sur les enjeux économiques, technologiques et humains du secteur Fintech</t>
  </si>
  <si>
    <t>Wake up</t>
  </si>
  <si>
    <t>Commercialisation et gestion d'assurances collectives</t>
  </si>
  <si>
    <t>Commercialiser des solutions assurbanque - banque au quotidien</t>
  </si>
  <si>
    <t>DEMOS</t>
  </si>
  <si>
    <t>Commercialiser des solutions assurbanque - banque au quotidien et crédits immobiliers</t>
  </si>
  <si>
    <t>Concevoir et mettre en oeuvre le système de contrôle des délégataires de gestion dans l'assurance</t>
  </si>
  <si>
    <t>Conseil en investissement et patrimoine - Approfondissement</t>
  </si>
  <si>
    <t>Bärchen Education</t>
  </si>
  <si>
    <t>Conseil en investissement et patrimoine - Expertise</t>
  </si>
  <si>
    <t>Conseiller la clientèle en matière de placements courants</t>
  </si>
  <si>
    <t>Conseiller vos clients Personnes Protégées</t>
  </si>
  <si>
    <t>Contrôle permanent de la conformité et des risques au sein d'une institution financière</t>
  </si>
  <si>
    <t>Centre d'affaires Emergence</t>
  </si>
  <si>
    <t>CSTB Compétences Expert Construction</t>
  </si>
  <si>
    <t>Certivéa</t>
  </si>
  <si>
    <t>Détecter et prévenir les risques de la relation client</t>
  </si>
  <si>
    <t>Détecter les besoins des clients et proposer des solutions bancaires adaptées aux projets clients</t>
  </si>
  <si>
    <t>DU responsable mutualiste</t>
  </si>
  <si>
    <t>Université Panthéon Sorbonne - Paris 1</t>
  </si>
  <si>
    <t>Enjeux stratégiques et éthiques du Big Data dans l'assurance</t>
  </si>
  <si>
    <t>Ecole Polytechnique d'Assurances</t>
  </si>
  <si>
    <t>Entreprendre et développer une activité de courtage dans l'assurance</t>
  </si>
  <si>
    <t>European financial planner</t>
  </si>
  <si>
    <t>Association de certification aux métiers du conseil et de la gestion de patrimoine - EFPA France</t>
  </si>
  <si>
    <t>Examen relatif aux connaissances professionnelles minimales des acteurs des marchés financiers certifié par l'autorité des marché financiers (AMF)</t>
  </si>
  <si>
    <t>Autorité des marchés financiers (AMF)</t>
  </si>
  <si>
    <t>Fondamentaux de l'assurance</t>
  </si>
  <si>
    <t>Gérer et indemniser les sinistres standards et conventionnels / Dommages auto</t>
  </si>
  <si>
    <t>AF2A</t>
  </si>
  <si>
    <t>Gérer les contrats épargne et prévoyance du particulier</t>
  </si>
  <si>
    <t>Gérer les prestations maladie, retraite et prévoyance / TNS, TPE, PME</t>
  </si>
  <si>
    <t>Gérer les sinistres d'entreprise - risques standards</t>
  </si>
  <si>
    <t>Gérer un sinistre dégâts des eaux et incendie dans un immeuble</t>
  </si>
  <si>
    <t>Gestion patrimoniale pour les personnes en situation de tutelle ou de curatelle</t>
  </si>
  <si>
    <t>Intégrer les différentes dimensions de la relation client dans la banque - Certificat Intégration Mobilité Bancaire 3</t>
  </si>
  <si>
    <t>KYC, les obligations relatives à la connaissance du client : le dispositif et sa déclinaison sur le terrain</t>
  </si>
  <si>
    <t>La gestion des risques dans les collectivités territoriales</t>
  </si>
  <si>
    <t>La gestion des risques des professionnels dans une agence générale d'assurance</t>
  </si>
  <si>
    <t>CPNE du personnel des agents généraux d'assurance</t>
  </si>
  <si>
    <t>Le développement commercial dans une agence générale d'assurance</t>
  </si>
  <si>
    <t>Le traitement de l'Assurance-crédit</t>
  </si>
  <si>
    <t>Livret de formation IOBSP - Niveau I - capacité professionnelle des intermédiaires en opérations de banques et services de paiement (IOBSP)</t>
  </si>
  <si>
    <t>Registre unique des intermédiaires en assurance, banque et finance</t>
  </si>
  <si>
    <t>Livret de formation IOBSP - Niveau II - capacité professionnelle des intermédiaires en opérations de banques et services de paiement (IOBSP)</t>
  </si>
  <si>
    <t>Lutte contre le blanchiment de capitaux et le financement du terrorisme (LCB/FT)</t>
  </si>
  <si>
    <t>Maîtriser la comptabilité d'assurances</t>
  </si>
  <si>
    <t>Maîtriser la gestion des assurances du professionnel</t>
  </si>
  <si>
    <t>Maîtriser la gestion des assurances habitation et auto du particulier</t>
  </si>
  <si>
    <t>Maîtriser les techniques de vente en assurance</t>
  </si>
  <si>
    <t>Mettre en oeuvre un dispositif anti blanchiment LCB/FT dans les établissements financiers</t>
  </si>
  <si>
    <t>ERI consulting (ERI institute)</t>
  </si>
  <si>
    <t>Mise en oeuvre d'un contrôle des Prestations de Services Essentielles Externalisées (PSEE)</t>
  </si>
  <si>
    <t>Organiser et piloter contre le risque de fraude dans l'Assurance</t>
  </si>
  <si>
    <t>Pilotage des risques de l'entreprise</t>
  </si>
  <si>
    <t>Prévenir le risque de non-conformité en Assurance</t>
  </si>
  <si>
    <t>Prévenir les risques de la transformation digitale de l'Assurance</t>
  </si>
  <si>
    <t>Protection de la clientèle et conformité</t>
  </si>
  <si>
    <t>S'approprier les techniques bancaires du particulier - Certificat Intégration Mobilité Bancaire 4</t>
  </si>
  <si>
    <t>Situer sa contribution dans l'organisation de la banque - Certificat Intégration Mobilité Bancaire 2</t>
  </si>
  <si>
    <t>Technique d'expertise d'assurance</t>
  </si>
  <si>
    <t>La compagnie des experts</t>
  </si>
  <si>
    <t>Techniques actuarielles (DU)</t>
  </si>
  <si>
    <t>Sorbonne Université</t>
  </si>
  <si>
    <t>Travailler dans un environnement bancaire - Certificat Intégration Mobilité Bancaire 1</t>
  </si>
  <si>
    <t>Tutorat et transmission des compétences</t>
  </si>
  <si>
    <t>Bâtiment, travaux publics</t>
  </si>
  <si>
    <t>Attestation de compétence - formation à la prévention des risques liés à l'amiante des personnels cumulant des fonctions d'encadrement technique et/ou d'encadrement de chantier et/ou d'opérateur - travaux de sous-section 4</t>
  </si>
  <si>
    <t>Attestation de compétence - formation du personnel d'encadrement de chantier à la prévention des risques liés à l'amiante - travaux de sous-section 3</t>
  </si>
  <si>
    <t>Attestation de compétence - formation du personnel d'encadrement de chantier à la prévention des risques liés à l'amiante - travaux de sous-section 4</t>
  </si>
  <si>
    <t>Attestation de compétence - formation du personnel d'encadrement technique à la prévention des risques liés à l'amiante - travaux de sous-section 3</t>
  </si>
  <si>
    <t>Attestation de compétence - formation du personnel d'encadrement technique à la prévention des risques liés à l'amiante - travaux de sous-section 4</t>
  </si>
  <si>
    <t>Attestation de compétence - formation du personnel opérateur de chantier à la prévention des risques liés à l'amiante - travaux de sous-section 3</t>
  </si>
  <si>
    <t>Attestation de compétence - formation du personnel opérateur de chantier à la prévention des risques liés à l'amiante - travaux de sous-section 4</t>
  </si>
  <si>
    <t>Auditeur interne énergie bâtiments</t>
  </si>
  <si>
    <t>Autodesk Revit Architecture (ACU certification officielle éditeur)</t>
  </si>
  <si>
    <t>Autodesk</t>
  </si>
  <si>
    <t>CEPH - Concepteur Européen Bâtiment Passif</t>
  </si>
  <si>
    <t>Passiv Haus Institut</t>
  </si>
  <si>
    <t>Certificat d'Acquis Professionnels « Expertise Bâtiments »</t>
  </si>
  <si>
    <t>Certificat d'Acquis Professionnels « Intégrateur Smart Building »</t>
  </si>
  <si>
    <t>Certificat d'Acquis Professionnels « Management de projet BIM : conception - construction »</t>
  </si>
  <si>
    <t>Certificat d'Acquis Professionnels « Management de projet BIM : gestion de patrimoine »</t>
  </si>
  <si>
    <t>Certificat de compétence en dessin technique collaboratif du Bâtiment à travers l'outil Revit</t>
  </si>
  <si>
    <t>Formaltic</t>
  </si>
  <si>
    <t>Certificat de surveillant Catec®</t>
  </si>
  <si>
    <t>Caisse Nationale de l'Assurance Maladie des Travailleurs (CNAMTS)</t>
  </si>
  <si>
    <t>Certificat d'intervenant Catec®</t>
  </si>
  <si>
    <t>Certificat Pilotage d'un projet BIM</t>
  </si>
  <si>
    <t>Ecole nationale des ponts et chaussées</t>
  </si>
  <si>
    <t>Certification conception et dimensionnement d'un éclairage en technologie LED</t>
  </si>
  <si>
    <t>Lumière Consulting</t>
  </si>
  <si>
    <t>Certification conception, installation et maintenance en éclairage intérieur</t>
  </si>
  <si>
    <t>Certification de Compétence d'Ingénieur Professionnel en Génie civil BTP, Bâtiment</t>
  </si>
  <si>
    <t>Société Nationale des Ingénieurs Professionnels de France</t>
  </si>
  <si>
    <t>Certification logiciel de calcul d'éclairage DIALUX</t>
  </si>
  <si>
    <t>Coordonnateur en matière de sécurité et de santé</t>
  </si>
  <si>
    <t>Ministère du travail</t>
  </si>
  <si>
    <t>Creusement et soutènement en méthode traditionnelle en travaux souterrains</t>
  </si>
  <si>
    <t>Association gestionnaire des centres de formation continue de la fédération nationale des travaux publics (AGCFTP)</t>
  </si>
  <si>
    <t>Formation aux techniques de cartouches pyrotechniques catégorie P2</t>
  </si>
  <si>
    <t>Gestion de production : optimiser, expliquer, engager</t>
  </si>
  <si>
    <t>Biqualité</t>
  </si>
  <si>
    <t>Intervention à proximité des réseaux</t>
  </si>
  <si>
    <t>La gestion économique, juridique et managériale des chantiers BTP</t>
  </si>
  <si>
    <t>Association pour la promotion des entreprises du bâtiment</t>
  </si>
  <si>
    <t>La gestion économique, réglementaire et managériale du chantier pour chef de chantier BTP</t>
  </si>
  <si>
    <t>L'efficacité énergétique active du bâtiment</t>
  </si>
  <si>
    <t>Fédération des industries électriques, électroniques et de communication</t>
  </si>
  <si>
    <t>Maîtrise des techniques de conception de dessins techniques structurés</t>
  </si>
  <si>
    <t>Formalisa</t>
  </si>
  <si>
    <t>Maîtrise des techniques de conception et révision des maquettes numériques BIM</t>
  </si>
  <si>
    <t>Maîtrise d'ouvrage</t>
  </si>
  <si>
    <t>Édition formation entreprise (EFE)</t>
  </si>
  <si>
    <t>Progresser dans ses missions de chef de chantier du BTP</t>
  </si>
  <si>
    <t>Progresser dans ses missions de chef d'équipe du BTP</t>
  </si>
  <si>
    <t>Progresser dans ses missions de conducteur de travaux</t>
  </si>
  <si>
    <t>Chimie</t>
  </si>
  <si>
    <t>Certificat de compétences en développement et formulation galéniques</t>
  </si>
  <si>
    <t>Institut des métiers et des technologies des industries pharmaceutiques et cosmétiques (IMT)</t>
  </si>
  <si>
    <t>Certificat de compétences en développement et techniques analytiques</t>
  </si>
  <si>
    <t>Certification aux compétences liées au département médical dans l'industrie pharmaceutique</t>
  </si>
  <si>
    <t>Institut de formation industrie de santé (IFIS)</t>
  </si>
  <si>
    <t>Certification chargé d'affaires technico-réglementaires post AMM dans les industries de santé</t>
  </si>
  <si>
    <t>Centre de formation pour l'industrie et la recherche appliquée</t>
  </si>
  <si>
    <t>Certification chargé de développement analytique dans les industries de santé</t>
  </si>
  <si>
    <t>Certification chargé de validation et qualification dans les industries de santé</t>
  </si>
  <si>
    <t>Certification de Compétence d'Ingénieur Professionnel en Chimie</t>
  </si>
  <si>
    <t>Certification en pharmacovigilance dans l'industrie pharmaceutique</t>
  </si>
  <si>
    <t>Certification personne qualifiée sur un site pharmaceutique</t>
  </si>
  <si>
    <t>Habilitation Certificat de compétences en développement et formulation galéniques</t>
  </si>
  <si>
    <t>Groupe IMT - Groupe des métiers et des technologies des produits de santé</t>
  </si>
  <si>
    <t>Management réglementaire des produits pour la protection des personnes et de l'environnement</t>
  </si>
  <si>
    <t>Groupement des Industriels de la Chimie pour les Etudes et la Recherche</t>
  </si>
  <si>
    <t>Superviser et piloter le procédé d'électrolyse avec le système de régulation ALPSYS</t>
  </si>
  <si>
    <t>Centre de Formation et de Développement Technique en électrolyse de l'aluminium - Institut Paul Héroult</t>
  </si>
  <si>
    <t>Utilisateur professionnel et distributeur de certains types de produits biocides : certibiocide</t>
  </si>
  <si>
    <t>Ministère des solidarités et de la santé</t>
  </si>
  <si>
    <t>Commerce international</t>
  </si>
  <si>
    <t>Certificat de compétences en entreprise (CCE) Gérer les opérations à l'international</t>
  </si>
  <si>
    <t>CCI France - Assemblée des chambres françaises de commerce et d'industrie</t>
  </si>
  <si>
    <t>Mobiliser les ressources pour développer un marché à l'export</t>
  </si>
  <si>
    <t>InnovENT-E</t>
  </si>
  <si>
    <t>Commercialisation</t>
  </si>
  <si>
    <t>Accompagner les équipes de vente au quotidien</t>
  </si>
  <si>
    <t>Devop</t>
  </si>
  <si>
    <t>Animer à distance une équipe de managers de point de vente</t>
  </si>
  <si>
    <t>RMS Consulting</t>
  </si>
  <si>
    <t>Animer une équipe de vendeurs sur un point de vente</t>
  </si>
  <si>
    <t>Certificat de compétence en promotion officinale pour les Attachés à la Promotion du Médicament</t>
  </si>
  <si>
    <t>GSA formation</t>
  </si>
  <si>
    <t>Certification de Compétence d'Ingénieur Professionnel en Fonction Commerciale</t>
  </si>
  <si>
    <t>Certification de compétences et connaissances réglementaires et scientifiques pour les personnes en charge de la promotion de médicaments</t>
  </si>
  <si>
    <t>Comité professionnel national de la visite médicale</t>
  </si>
  <si>
    <t>Certification de compétences pour les personnes en charge de l'élaboration des solutions proposés aux clients Entreprises</t>
  </si>
  <si>
    <t>Global Knowledge</t>
  </si>
  <si>
    <t>Concevoir, animer et faire vivre des formations retail blended</t>
  </si>
  <si>
    <t>Conduire les différentes étapes de la vente</t>
  </si>
  <si>
    <t>Com and Gie</t>
  </si>
  <si>
    <t>Conseil en centre relation client</t>
  </si>
  <si>
    <t>Communication Structure Perfectionnement (CSP - The Art of Training)</t>
  </si>
  <si>
    <t>Développement de la performance commerciale en « B to B »</t>
  </si>
  <si>
    <t>C3 institute</t>
  </si>
  <si>
    <t>Développer la performance d'une équipe de managers de points de vente</t>
  </si>
  <si>
    <t>Développer la performance d'une équipe de vendeurs sur un point de vente</t>
  </si>
  <si>
    <t>Développer les relations et les ventes en magasin</t>
  </si>
  <si>
    <t>Inéa Conseil</t>
  </si>
  <si>
    <t>Développer un projet business digital</t>
  </si>
  <si>
    <t>Ecole supérieure de management (ESCP Europe)</t>
  </si>
  <si>
    <t>E-commerce</t>
  </si>
  <si>
    <t>Institut supérieur du marketing</t>
  </si>
  <si>
    <t>Gestion de l'activité commerciale</t>
  </si>
  <si>
    <t>PLJ Développements</t>
  </si>
  <si>
    <t>IBM certified application developer - WebSphere Commerce</t>
  </si>
  <si>
    <t>IBM</t>
  </si>
  <si>
    <t>Ingénierie, vente et pilotage d'affaires</t>
  </si>
  <si>
    <t>Cegos</t>
  </si>
  <si>
    <t>La négociation commerciale complexe</t>
  </si>
  <si>
    <t>Antegos consulting</t>
  </si>
  <si>
    <t>Manager au quotidien</t>
  </si>
  <si>
    <t>Mener les étapes clés d'une vente réussie</t>
  </si>
  <si>
    <t>Manitude</t>
  </si>
  <si>
    <t>Performance commerciale et relation client</t>
  </si>
  <si>
    <t>Relation client et vente à distance</t>
  </si>
  <si>
    <t>Techniques de vente</t>
  </si>
  <si>
    <t>Centre européen des examens de la fédération européenne des écoles</t>
  </si>
  <si>
    <t>Vendre une prestation de services RH</t>
  </si>
  <si>
    <t>Man'Agir</t>
  </si>
  <si>
    <t>Vente conseil sur la transformation numérique des entreprises</t>
  </si>
  <si>
    <t>Euridis Management</t>
  </si>
  <si>
    <t>Vente de solutions numériques à des grands comptes</t>
  </si>
  <si>
    <t>Vente et avantage commercial</t>
  </si>
  <si>
    <t>Valeat Formation</t>
  </si>
  <si>
    <t>Vente et Business Développement</t>
  </si>
  <si>
    <t>SKEMA Business school  - Paris, SKEMA Business School - Lille, SKEMA Business School - Sophia Antipolis</t>
  </si>
  <si>
    <t>Vente et développement commercial omnicanal</t>
  </si>
  <si>
    <t>Groupe Sciences U - Lyon</t>
  </si>
  <si>
    <t>Vente et négociation</t>
  </si>
  <si>
    <t>Vente et Négociation B to B</t>
  </si>
  <si>
    <t>Akor consulting</t>
  </si>
  <si>
    <t>Développement personnel</t>
  </si>
  <si>
    <t>Apprenant Agile - Faire valoir ses capacités à apprendre et à s'adapter</t>
  </si>
  <si>
    <t>APapp - Association pour la promotion du label APP</t>
  </si>
  <si>
    <t>Certificat de capacité à la gestion du stress des enseignants et du personnel éducatif</t>
  </si>
  <si>
    <t>Centre de formation Elisabeth Breton</t>
  </si>
  <si>
    <t>Certificat de compétences en management des équipes</t>
  </si>
  <si>
    <t>Formanova</t>
  </si>
  <si>
    <t>Certificat Voltaire</t>
  </si>
  <si>
    <t>Woonoz</t>
  </si>
  <si>
    <t>Certification Bescherelle</t>
  </si>
  <si>
    <t>Novascrib</t>
  </si>
  <si>
    <t>Certification Bescherelle en Orthographe</t>
  </si>
  <si>
    <t>Certification de français Frantastique</t>
  </si>
  <si>
    <t>A9</t>
  </si>
  <si>
    <t>Certification en Communication interpersonnelle - Process Communication Model®</t>
  </si>
  <si>
    <t>Kahler Communication France</t>
  </si>
  <si>
    <t>Certification en Négociation Complexe (PACIFICAT©)</t>
  </si>
  <si>
    <t>ADN Group - Certificateur en Négociations complexes</t>
  </si>
  <si>
    <t>Compétences clés visant à lutter contre les situations d'illettrisme</t>
  </si>
  <si>
    <t>Commission Paritaire Nationale de l'Application de l'Accord d'AGEFOS PME</t>
  </si>
  <si>
    <t>Conduire un entretien de développement de compétences</t>
  </si>
  <si>
    <t>Interactif</t>
  </si>
  <si>
    <t>Conseil en image</t>
  </si>
  <si>
    <t>Coach'n look</t>
  </si>
  <si>
    <t>CP FFP animation de groupes en formation professionnelle</t>
  </si>
  <si>
    <t>Marijul RH</t>
  </si>
  <si>
    <t>Développement de la performance au travail par la conciliation vie privée vie professionnelle</t>
  </si>
  <si>
    <t>AMC Ressources</t>
  </si>
  <si>
    <t>Diplôme de compétence en langue française professionnelle de premier niveau</t>
  </si>
  <si>
    <t>Ministère de l'éducation nationale</t>
  </si>
  <si>
    <t>Facilitation collaborative certifiée Innovation Games®</t>
  </si>
  <si>
    <t>Creagile</t>
  </si>
  <si>
    <t>Fondamentaux de la négociation</t>
  </si>
  <si>
    <t>HEC Paris</t>
  </si>
  <si>
    <t>Gestion de la relation humaine par la communication non-verbale (synergologie)</t>
  </si>
  <si>
    <t>Institut européen de synergologie</t>
  </si>
  <si>
    <t>Gestion du stress en entreprise et en milieu professionnel</t>
  </si>
  <si>
    <t>Image et posture professionnelles</t>
  </si>
  <si>
    <t>Association francophone de l'image et la posture professionnelle</t>
  </si>
  <si>
    <t>Les clés de la gestion de conflit en entreprise</t>
  </si>
  <si>
    <t>Servane Boudet Formations Conseils</t>
  </si>
  <si>
    <t>Maîtriser l'art oratoire</t>
  </si>
  <si>
    <t>Patrick Minod Consultant</t>
  </si>
  <si>
    <t>Management du changement et de la transformation</t>
  </si>
  <si>
    <t>Management du Leadership au féminin</t>
  </si>
  <si>
    <t>Talhency RH</t>
  </si>
  <si>
    <t>Manager et faire collaborer les équipes</t>
  </si>
  <si>
    <t>Intelligent Business</t>
  </si>
  <si>
    <t>Mobiliser les compétences numériques fondamentales</t>
  </si>
  <si>
    <t>Simplon.co</t>
  </si>
  <si>
    <t>Prendre la parole avec impact et aisance</t>
  </si>
  <si>
    <t>Boîte en scène</t>
  </si>
  <si>
    <t>Prévention et gestion du stress du personnel soignant</t>
  </si>
  <si>
    <t>Prise de parole par la voix et le souffle</t>
  </si>
  <si>
    <t>Association La voix et le souffle</t>
  </si>
  <si>
    <t>Réussir sa mobilité professionnelle</t>
  </si>
  <si>
    <t>S'exprimer avec impact en public</t>
  </si>
  <si>
    <t>Socle de connaissances et de compétences professionnelles (CléA)</t>
  </si>
  <si>
    <t>Comité paritaire interprofessionnel national pour l'emploi et la formation</t>
  </si>
  <si>
    <t>Socle de connaissances et de compétences professionnelles numérique (CléA Numérique)</t>
  </si>
  <si>
    <t>Stratégies de négociation</t>
  </si>
  <si>
    <t>Techniques de négociation</t>
  </si>
  <si>
    <t>Scotwork - Negotiating Partner</t>
  </si>
  <si>
    <t>Tremplin pour le leadership des femmes</t>
  </si>
  <si>
    <t>Alomey</t>
  </si>
  <si>
    <t>Economie</t>
  </si>
  <si>
    <t>AGROMANAGER - cycle de perfectionnement pour directeurs et cadres de coopératives agricoles et leurs filiales</t>
  </si>
  <si>
    <t>CPNE interbranche de la coopération agricole, Services Coop de France</t>
  </si>
  <si>
    <t>Electricité, électronique</t>
  </si>
  <si>
    <t>Certification de Compétence d'Ingénieur Professionnel en Electricité</t>
  </si>
  <si>
    <t>Certification de concepteur IPC CID conception des assemblages électroniques</t>
  </si>
  <si>
    <t>IPC - Association Connecting Electronics Industries, IFTEC, JETWARE, Microniks Europe</t>
  </si>
  <si>
    <t>Certification de Formateur IPC-A-610 (CIT) Acceptabilité des Assemblages Electronique</t>
  </si>
  <si>
    <t>IFTEC</t>
  </si>
  <si>
    <t>Certification de formateur IPC-A-620 CIT acceptabilité pour l'interconnexion des faisceaux de fils et de câbles</t>
  </si>
  <si>
    <t>IPC - Association Connecting Electronics Industries, IFTEC, Microniks Europe</t>
  </si>
  <si>
    <t>Certification de l' ESA en brasage manuel au fer selon la norme ECSS-Q-ST-70-08 de l'ESA (TF-ESA) - brasage manuel au fer pour équipement électronique spatial - module 1: composants traversants et filaires</t>
  </si>
  <si>
    <t>Agence spatiale européenne, Institut de soudure</t>
  </si>
  <si>
    <t>Certification de l' ESA en brasage manuel au fer selon la norme ECSS-Q-ST-70-08 de l'ESA (TF-ESA) - brasage manuel au fer pour équipement électronique spatial - module 2: composants CMS</t>
  </si>
  <si>
    <t>Certification de l' ESA en contrôle visuel des brasures en spatial selon les normes ECSS-Q-ST-70-08 et ECSS-Q-ST-70-38 de l'ESA (CVB-ESA) - contrôle visuel pour équipement électronique spatial - composants traversants, filaires et CMS</t>
  </si>
  <si>
    <t>Certification de l' ESA sertissage en spatial selon la norme ECSS-Q-ST-70-26 de l'ESA (SERT-ESA) - sertissage pour équipement électronique spatial</t>
  </si>
  <si>
    <t>Certification de spécialistes IPC/WHMA-A-620 (CIS) Exigences et critères d'acceptabilité pour l'interconnexion des faisceaux de fils et de câbles</t>
  </si>
  <si>
    <t>Certification de spécialistes IPC-7711/7721 (CIS) Reprise, modification et réparation des assemblages électroniques</t>
  </si>
  <si>
    <t>Certification de spécialistes IPC-A-600 (CIS) Acceptabilité des circuits imprimés nus</t>
  </si>
  <si>
    <t>Certification de spécialistes IPC-A-610 (CIS) acceptabilité des assemblages électroniques</t>
  </si>
  <si>
    <t>Certification de spécialistes IPC-J-STD-001 (CIS) Exigences des assemblages électriques et électroniques brasés</t>
  </si>
  <si>
    <t>Composants de l'électronique de puissance</t>
  </si>
  <si>
    <t>Centrale Supélec</t>
  </si>
  <si>
    <t>Électronique de puissance</t>
  </si>
  <si>
    <t>Fondamentaux de l'électronique de puissance</t>
  </si>
  <si>
    <t>Habilitation électrique B0 chargé de travaux d'ordre non électrique, basse tension</t>
  </si>
  <si>
    <t>Habilitation électrique B1 exécutant électricien, basse tension</t>
  </si>
  <si>
    <t>Habilitation électrique B1N exécutant électricien, nettoyage sous tension d'équipement électrique, basse tension</t>
  </si>
  <si>
    <t>Habilitation électrique B1T exécutant électricien, travaux sous tension, basse tension</t>
  </si>
  <si>
    <t>Habilitation électrique B1V exécutant électricien, travaux au voisinage, basse tension</t>
  </si>
  <si>
    <t>Habilitation électrique B2 chargé de travaux électriques, basse tension</t>
  </si>
  <si>
    <t>Habilitation électrique B2N chargé de travaux, nettoyage sous tension d'équipement électrique, basse tension</t>
  </si>
  <si>
    <t>Habilitation électrique B2T chargé de travaux électriques sous tension, basse tension</t>
  </si>
  <si>
    <t>Habilitation électrique B2V (essai) chargé de travaux au voisinage, basse tension</t>
  </si>
  <si>
    <t>99999</t>
  </si>
  <si>
    <t>Habilitation électrique B2V chargé de travaux électriques au voisinage, basse tension</t>
  </si>
  <si>
    <t>Habilitation électrique BC chargé de consignation, basse tension</t>
  </si>
  <si>
    <t>Habilitation électrique BE essai chargé d'opérations spécifiques, basse tension</t>
  </si>
  <si>
    <t>Habilitation électrique BE manoeuvre chargé d'opérations spécifiques, basse tension</t>
  </si>
  <si>
    <t>Habilitation électrique BE mesurage chargé d'opérations spécifiques, basse tension</t>
  </si>
  <si>
    <t>Habilitation électrique BE vérification chargé d'opérations spécifiques, basse tension</t>
  </si>
  <si>
    <t>Habilitation électrique BP chargé d'opérations sur installations photovoltaïques, basse tension</t>
  </si>
  <si>
    <t>Habilitation électrique BR chargé d'intervention générale, basse tension</t>
  </si>
  <si>
    <t>Habilitation électrique BR photovoltaïque chargé d'intervention générale, basse tension</t>
  </si>
  <si>
    <t>Habilitation électrique BS chargé d'intervention élémentaire, basse tension</t>
  </si>
  <si>
    <t>Habilitation électrique H0 chargé de travaux d'ordre non électrique, haute tension</t>
  </si>
  <si>
    <t>Habilitation électrique H0V chargé de travaux d'ordre non électrique, travaux au voisinage, haute tension</t>
  </si>
  <si>
    <t>Habilitation électrique H1 exécutant électricien, haute tension</t>
  </si>
  <si>
    <t>Habilitation électrique H1N exécutant électricien, nettoyage sous tension d'équipement électrique, haute tension</t>
  </si>
  <si>
    <t>Habilitation électrique H1T exécutant électricien, travaux sous tension, haute tension</t>
  </si>
  <si>
    <t>Habilitation électrique H1V exécutant électricien, travaux au voisinage, haute tension</t>
  </si>
  <si>
    <t>Habilitation électrique H2 chargé de travaux électrique, haute tension</t>
  </si>
  <si>
    <t>Habilitation électrique H2N chargé de travaux, nettoyage sous tension d'équipement électrique, haute tension</t>
  </si>
  <si>
    <t>Habilitation électrique H2T chargé de travaux électriques, travaux sous tension, haute tension</t>
  </si>
  <si>
    <t>Habilitation électrique H2V (essai) chargé de travaux au voisinage, haute tension</t>
  </si>
  <si>
    <t>Habilitation électrique H2V chargé de travaux électriques au voisinage, haute tension</t>
  </si>
  <si>
    <t>Habilitation électrique HC chargé de consignation, haute tension</t>
  </si>
  <si>
    <t>Habilitation électrique HE essai chargé d'opérations spécifiques, haute tension</t>
  </si>
  <si>
    <t>Habilitation électrique HE manoeuvre chargé d'opérations spécifiques, haute tension</t>
  </si>
  <si>
    <t>Habilitation électrique HE mesurage chargé d'opérations spécifiques, haute tension</t>
  </si>
  <si>
    <t>Habilitation électrique HE vérification chargé d'opérations spécifiques, haute tension</t>
  </si>
  <si>
    <t>IACS (Industrial Automation Control System) - Spécialité Electricité</t>
  </si>
  <si>
    <t>Maintenance en système de vidéosurveillance</t>
  </si>
  <si>
    <t>SVDI</t>
  </si>
  <si>
    <t>Système de sécurité incendie : responsabilité technique</t>
  </si>
  <si>
    <t>Système de sécurité incendie : technique d'exécution</t>
  </si>
  <si>
    <t>Technique d'exécution en vidéosurveillance</t>
  </si>
  <si>
    <t>Vidéosurveillance : responsabilité technique</t>
  </si>
  <si>
    <t>Energie</t>
  </si>
  <si>
    <t>Auditeur ICA énergie</t>
  </si>
  <si>
    <t>Certificat "Chef de projet Energies Marines Renouvelables - EMR"</t>
  </si>
  <si>
    <t>Université de Nantes</t>
  </si>
  <si>
    <t>Certificat "Référent Énergies Marines Renouvelables - EMR"</t>
  </si>
  <si>
    <t>Certificat de formation de personne compétente en radioprotection de niveau 1 secteur industrie</t>
  </si>
  <si>
    <t>Certificat de formation de personne compétente en radioprotection de niveau 1 secteur médical</t>
  </si>
  <si>
    <t>Certificat de formation de personne compétente en radioprotection de niveau 1 secteur transport de substances radioactives</t>
  </si>
  <si>
    <t>Certificat de formation de personne compétente en radioprotection de niveau 2 secteur industrie option sources radioactives non scellées</t>
  </si>
  <si>
    <t>Certificat de formation de personne compétente en radioprotection de niveau 2 secteur industrie option sources radioactives scellées</t>
  </si>
  <si>
    <t>Certificat de formation de personne compétente en radioprotection de niveau 2 secteur médical option sources radioactives non scellées</t>
  </si>
  <si>
    <t>Certificat de formation de personne compétente en radioprotection de niveau 2 secteur médical option sources radioactives scellées</t>
  </si>
  <si>
    <t>Certificat de formation de personne compétente en radioprotection de niveau 2 secteur transport de substances radioactives</t>
  </si>
  <si>
    <t>Certificat de formation de personne compétente en radioprotection de niveau 3 secteur laboratoires, usines, sites de gestion des déchets</t>
  </si>
  <si>
    <t>Certificat de formation de personne compétente en radioprotection de niveau 3 secteur réacteur nucléaire</t>
  </si>
  <si>
    <t>Certification CMVP (Certified Measurement and Verification Professionnal)</t>
  </si>
  <si>
    <t>Association of Energy Engineers, AFNOR</t>
  </si>
  <si>
    <t>Certification nucléaire - Option Centre de Recherche (CR) - Prévention des Risques (PR)</t>
  </si>
  <si>
    <t>Comité français de certification des Entreprises</t>
  </si>
  <si>
    <t>Certification nucléaire - Option Cycle du Combustible (CC) - Prévention des Risques (PR)</t>
  </si>
  <si>
    <t>Certification nucléaire - Option Réacteur Nucléaire (RN) - Complément Sûreté Qualité (CSQ)</t>
  </si>
  <si>
    <t>Certification nucléaire - Option Réacteur Nucléaire (RN) - Radioprotection (RP) - Niveau 1</t>
  </si>
  <si>
    <t>Certification nucléaire - Option Réacteur Nucléaire (RN) - Radioprotection (RP) - Niveau 2</t>
  </si>
  <si>
    <t>Certification nucléaire - Option Réacteur Nucléaire (RN) - Savoir Commun du Nucléaire (SCN) - Niveau 1</t>
  </si>
  <si>
    <t>Certification nucléaire - Option Réacteur Nucléaire (RN) - Savoir Commun du Nucléaire (SCN) - Niveau 2</t>
  </si>
  <si>
    <t>Certification nucléaire - Option Réacteur Nucléaire Embarqué (RNE) - Prévention des Risques (PR)</t>
  </si>
  <si>
    <t>Conception de Projets d'éclairage Eco-efficaces - Niveau 1</t>
  </si>
  <si>
    <t>Syndicat de l'éclairage</t>
  </si>
  <si>
    <t>Conception de Projets d'éclairage Eco-efficaces « tertiaires ou industriels » - Niveau 2 (A)</t>
  </si>
  <si>
    <t>Conception de Projets d'éclairage Eco-efficaces «Architectural» - Niveau 2 (C)</t>
  </si>
  <si>
    <t>Conception de Projets d'éclairage Eco-efficaces des « commerces» - Niveau 2 (B)</t>
  </si>
  <si>
    <t>Entrepreneuriat dans les énergies renouvelables</t>
  </si>
  <si>
    <t>Ecole polytechnique</t>
  </si>
  <si>
    <t>Équipement biomasse vecteur air</t>
  </si>
  <si>
    <t>Qualit'EnR</t>
  </si>
  <si>
    <t>Equipements biomasse vecteur eau</t>
  </si>
  <si>
    <t>Forage géothermique</t>
  </si>
  <si>
    <t>Générateur photovoltaïque raccordé au réseau - compétence électricité</t>
  </si>
  <si>
    <t>Générateur photovoltaïque raccordé au réseau - compétence intégration au bâti</t>
  </si>
  <si>
    <t>Installation solaire collective de production d'eau chaude sanitaire</t>
  </si>
  <si>
    <t>Management de l'énergie en entreprise</t>
  </si>
  <si>
    <t>Management et finance des marchés de l'énergie</t>
  </si>
  <si>
    <t>Piloter une démarche d'efficacité énergétique selon la norme ISO 50001</t>
  </si>
  <si>
    <t>Efficacité21 - Transition21</t>
  </si>
  <si>
    <t>Pompe à chaleur en habitat individuel</t>
  </si>
  <si>
    <t>Premier Niveau en Radioprotection</t>
  </si>
  <si>
    <t>Institut national des sciences et techniques nucléaires (INSTN) - Gif-sur-Yvette</t>
  </si>
  <si>
    <t>Environnement aménagement</t>
  </si>
  <si>
    <t>Certificat d'acquis professionnels responsable développement durable et responsabilité sociétale</t>
  </si>
  <si>
    <t>Certificat d'acquis professionnels Responsable Environnement ISO 14001</t>
  </si>
  <si>
    <t>Certificat de formateur Catec®</t>
  </si>
  <si>
    <t>Développement Durable et Qualité Environnementale en Aménagement du Territoire, Urbanisme, Architecture et Construction</t>
  </si>
  <si>
    <t>Les 2 Rives - SCOP</t>
  </si>
  <si>
    <t>DU évaluateur de la sécurité toxicologique pour les produits chimiques et cosmétiques spécialité toxicologie - évaluation des risques</t>
  </si>
  <si>
    <t>Ministère de l'enseignement supérieur, de la recherche et de l'innovation, Université Paris Descartes - Paris 5</t>
  </si>
  <si>
    <t>Expert en efficacité énergétique des bâtiments</t>
  </si>
  <si>
    <t>Expert en efficacité énergétique industrielle</t>
  </si>
  <si>
    <t>Médiation de l'architecture contemporaine (DIE)</t>
  </si>
  <si>
    <t>Université de Bordeaux</t>
  </si>
  <si>
    <t>Parcours Construire des projets environnementaux (DIU)</t>
  </si>
  <si>
    <t>Université Rennes 1</t>
  </si>
  <si>
    <t>Traitement des eaux</t>
  </si>
  <si>
    <t>BWT - France</t>
  </si>
  <si>
    <t>Génie climatique</t>
  </si>
  <si>
    <t>Attestation d'aptitude à la manipulation des fluides frigorigènes - catégorie 1</t>
  </si>
  <si>
    <t>Bureau Veritas, Global Conseil, Groupe SGS France, Ministère de la transition écologique et solidaire</t>
  </si>
  <si>
    <t>Attestation d'aptitude à la manipulation des fluides frigorigènes - catégorie 2</t>
  </si>
  <si>
    <t>Attestation d'aptitude à la manipulation des fluides frigorigènes - catégorie 3</t>
  </si>
  <si>
    <t>Attestation d'aptitude à la manipulation des fluides frigorigènes - catégorie 4</t>
  </si>
  <si>
    <t>Attestation d'aptitude à la manipulation des fluides frigorigènes - catégorie 5</t>
  </si>
  <si>
    <t>Attestation d'aptitude concernant les installations de gaz situées à l'intérieur des bâtiments d'habitation ou de leurs dépendances</t>
  </si>
  <si>
    <t>Comité français d'accréditation</t>
  </si>
  <si>
    <t>Certification de Compétence d'Ingénieur Professionnel en Climatisation</t>
  </si>
  <si>
    <t>Chauffe-eau solaire individuel</t>
  </si>
  <si>
    <t>Chauffe-eau thermodynamique individuel</t>
  </si>
  <si>
    <t>Habilitation à la conduite et à la maintenance des installations frigorifiques embarquées à ammoniac à bord des navires</t>
  </si>
  <si>
    <t>Système solaire combiné</t>
  </si>
  <si>
    <t>Gestion commerciale</t>
  </si>
  <si>
    <t>Acheter en entreprise</t>
  </si>
  <si>
    <t>Acquisition de trafic web</t>
  </si>
  <si>
    <t>AUSSIES - Webmarketing</t>
  </si>
  <si>
    <t>Foster Academy</t>
  </si>
  <si>
    <t>Capacité à l'analyse de données CRM multicanal</t>
  </si>
  <si>
    <t>Association Francophone de Management Electronique</t>
  </si>
  <si>
    <t>Certificat d'analyse des enjeux de la transition numérique</t>
  </si>
  <si>
    <t>La WAB - Web Association Bergerac</t>
  </si>
  <si>
    <t>Certificat d'aptitude à la gestion des déplacements professionnels (CAGDP)</t>
  </si>
  <si>
    <t>Association française des travel managers</t>
  </si>
  <si>
    <t>Certificat de capacité à l'élaboration d'une stratégie marketing digitale</t>
  </si>
  <si>
    <t>Certificat de compétences des services relation client</t>
  </si>
  <si>
    <t>CPNE des organismes de formation</t>
  </si>
  <si>
    <t>Certificat de Compétences en Entreprise (CCE) "Mener une négociation commerciale"</t>
  </si>
  <si>
    <t>Certificat de compétences en entreprise (CCE) Exercer la mission d'organisation et de suivi des achats</t>
  </si>
  <si>
    <t>Certificat de compétences en entreprise (CCE) Mettre en oeuvre des actions de communication numérique dans l'entreprise</t>
  </si>
  <si>
    <t>Certification compétences webmarketing et communication Web</t>
  </si>
  <si>
    <t>StarTech Normandy</t>
  </si>
  <si>
    <t>Certification de compétences pour les personnes en charge du Service Après-Vente et Production Service Client</t>
  </si>
  <si>
    <t>Certification Marketing Digital</t>
  </si>
  <si>
    <t>TalenCo</t>
  </si>
  <si>
    <t>Certification marketing digital &amp; stratégie digitale</t>
  </si>
  <si>
    <t>Naïas Formation Paris</t>
  </si>
  <si>
    <t>Collaborateur digital</t>
  </si>
  <si>
    <t>Créer, optimiser et dynamiser la stratégie webmarketing et communication numérique d'une organisation</t>
  </si>
  <si>
    <t>VISIPLUS academy</t>
  </si>
  <si>
    <t>De l'expérience à l'excellence client : Mobiliser ses compétences et développer ses talents</t>
  </si>
  <si>
    <t>Académie du Service</t>
  </si>
  <si>
    <t>Déployer et optimiser une stratégie de marketing de contenu sur le web et les médias sociaux</t>
  </si>
  <si>
    <t>Développement, intégration et codage de pages Web</t>
  </si>
  <si>
    <t>M2I Formation</t>
  </si>
  <si>
    <t>Direction commerciale</t>
  </si>
  <si>
    <t>Direction marketing</t>
  </si>
  <si>
    <t>Excellence relationnelle pour un accueil client de qualité</t>
  </si>
  <si>
    <t>French Touch Attitude</t>
  </si>
  <si>
    <t>Fidélisation et e-CRM</t>
  </si>
  <si>
    <t>Fondamentaux de la Vente B to B</t>
  </si>
  <si>
    <t>Fondamentaux des achats</t>
  </si>
  <si>
    <t>Gestion du service client B to B dans le domaine numérique</t>
  </si>
  <si>
    <t>Télécom ParisTech</t>
  </si>
  <si>
    <t>Implémenter et utiliser les outils d'aide au marketing digital</t>
  </si>
  <si>
    <t>FITEC</t>
  </si>
  <si>
    <t>Intégrer l'outil de gestion de la relation client</t>
  </si>
  <si>
    <t>La gestion de la relation client</t>
  </si>
  <si>
    <t>La qualité du service dans la gestion de la relation client</t>
  </si>
  <si>
    <t>Customer Experience - Groupe INSEEC, Luxury Attitude - Groupe INSEEC</t>
  </si>
  <si>
    <t>La relation clients dans le secteur bancaire et assurance</t>
  </si>
  <si>
    <t>Le Marketing Digital</t>
  </si>
  <si>
    <t>Le marketing digital</t>
  </si>
  <si>
    <t>Management de la Relation Client</t>
  </si>
  <si>
    <t>Grenoble école de management</t>
  </si>
  <si>
    <t>Management d'une offre de services et de l'expérience client (BADGE)</t>
  </si>
  <si>
    <t>Marketing digital</t>
  </si>
  <si>
    <t>Marketing Digital</t>
  </si>
  <si>
    <t>Marketing et Communication Digitale</t>
  </si>
  <si>
    <t>Comundi, Université Paris-Dauphine</t>
  </si>
  <si>
    <t>Marketing management</t>
  </si>
  <si>
    <t>Marketing stratégique</t>
  </si>
  <si>
    <t>Mobile et webmarketing</t>
  </si>
  <si>
    <t>CEGEFOS</t>
  </si>
  <si>
    <t>Pratiquer le marketing digital</t>
  </si>
  <si>
    <t>LiveMentor</t>
  </si>
  <si>
    <t>Produire des contenus digitaux de qualité</t>
  </si>
  <si>
    <t>Prospection commerciale pour les professionnels du conseil, du numérique et des nouvelles technologies</t>
  </si>
  <si>
    <t>Hiramys</t>
  </si>
  <si>
    <t>Relation client</t>
  </si>
  <si>
    <t>Réussir sa publicité sur Facebook</t>
  </si>
  <si>
    <t>Stratégie Digital Marketing</t>
  </si>
  <si>
    <t>Traitement des Appels d'offre</t>
  </si>
  <si>
    <t>Vendre de la création de valeur à ses clients</t>
  </si>
  <si>
    <t>Webmarketing - Marketing digital</t>
  </si>
  <si>
    <t>Agence Tristanah</t>
  </si>
  <si>
    <t>Gestion industrielle</t>
  </si>
  <si>
    <t>Analyse des temps de fabrication (MTM-UAS)</t>
  </si>
  <si>
    <t>Association MTM Française</t>
  </si>
  <si>
    <t>Auditeur ICA Qualité</t>
  </si>
  <si>
    <t>Auditeur tierce partie IRCA système de management de la qualité</t>
  </si>
  <si>
    <t>Certificat CAO TopSolid7</t>
  </si>
  <si>
    <t>Missler Software</t>
  </si>
  <si>
    <t>Certificat d'Acquis Professionnels « Responsable Travaux Neufs »</t>
  </si>
  <si>
    <t>Certificat de compétences en entreprise (CCE) Réaliser une activité de production</t>
  </si>
  <si>
    <t>Certificat de Maîtrise de la solution logicielle de Gestion de Production,YourCegid Manufacturing PMI</t>
  </si>
  <si>
    <t>Cegid groupe</t>
  </si>
  <si>
    <t>Certificat FAO TopSolid7</t>
  </si>
  <si>
    <t>Certificat Manager un service maintenance</t>
  </si>
  <si>
    <t>Certification de Compétence d'Ingénieur Professionnel en Méthodes</t>
  </si>
  <si>
    <t>Certification de Compétence d'Ingénieur Professionnel en Production</t>
  </si>
  <si>
    <t>Certification Lean Black Belt</t>
  </si>
  <si>
    <t>Université Lean 6 Sigma</t>
  </si>
  <si>
    <t>Certification Lean Green Belt</t>
  </si>
  <si>
    <t>Certification Lean Six Sigma - Black Belt</t>
  </si>
  <si>
    <t>Certification Lean Six Sigma - Green Belt</t>
  </si>
  <si>
    <t>Certification Lean Six Sigma - Master Black Belt</t>
  </si>
  <si>
    <t>Certification Lean Six Sigma - Yellow Belt</t>
  </si>
  <si>
    <t>Concevoir un produit, un procédé, un service</t>
  </si>
  <si>
    <t>CSEP - Certified Systems Engineering Professional</t>
  </si>
  <si>
    <t>International Council of Systems Engineering</t>
  </si>
  <si>
    <t>IACS (Industrial Automation Control System) - Spécialité Analyse en ligne</t>
  </si>
  <si>
    <t>IACS (Industrial Automation Control System) - Spécialité métrologie</t>
  </si>
  <si>
    <t>La conception en 3 Dimensions avec SolidWorks</t>
  </si>
  <si>
    <t>Visiativ</t>
  </si>
  <si>
    <t>Modéliser et concevoir en 3 dimensions vos projets d'innovation avec Solidworks</t>
  </si>
  <si>
    <t>Avenao solutions 3D</t>
  </si>
  <si>
    <t>Modéliser et consulter en 3 dimensions les projets d'innovation technique avec CATIA</t>
  </si>
  <si>
    <t>Techniques de conception et design de pièces et d'assemblages 3D paramétriques</t>
  </si>
  <si>
    <t>WorkNC : CFAO 2 à 5 AXES</t>
  </si>
  <si>
    <t>SESCOI</t>
  </si>
  <si>
    <t>Gestion, droit, management</t>
  </si>
  <si>
    <t>5 jours pour entreprendre ®</t>
  </si>
  <si>
    <t>Accompagnement des entreprises et des organisations en agilité comportementale</t>
  </si>
  <si>
    <t>Agil'oa</t>
  </si>
  <si>
    <t>Accompagner et manager avec les outils du coach</t>
  </si>
  <si>
    <t>Altitude formation et conseil</t>
  </si>
  <si>
    <t>Accompagner le changement avec la démarche coaching</t>
  </si>
  <si>
    <t>Evolusens</t>
  </si>
  <si>
    <t>Accompagner les individus et les équipes dans les situations de transition</t>
  </si>
  <si>
    <t>Ressources et Carrières</t>
  </si>
  <si>
    <t>Accompagner l'individu avec une approche de coaching multidisciplinaire - Niveau 1 (BADGE)</t>
  </si>
  <si>
    <t>Accréditation au modèle Insights Discovery©</t>
  </si>
  <si>
    <t>Insights France</t>
  </si>
  <si>
    <t>Acquérir les méthodes et outils du consultant</t>
  </si>
  <si>
    <t>Acteur du progrès continu</t>
  </si>
  <si>
    <t>Administration de société</t>
  </si>
  <si>
    <t>Agrément des agents de contrôle des organismes des caisses de mutualité sociale agricole</t>
  </si>
  <si>
    <t>Animer et piloter une équipe en mode projet</t>
  </si>
  <si>
    <t>Convergence conseil RH</t>
  </si>
  <si>
    <t>Appliquer le droit du travail : relations individuelles et collectives</t>
  </si>
  <si>
    <t>Aptitude à la culture digitale d'entreprise</t>
  </si>
  <si>
    <t>Unow</t>
  </si>
  <si>
    <t>Assistanat juridique</t>
  </si>
  <si>
    <t>Attestation de formation en matière de gestion des situations de crise et de comportement humain</t>
  </si>
  <si>
    <t>Direction des affaires maritimes</t>
  </si>
  <si>
    <t>Audit interne qualité transition</t>
  </si>
  <si>
    <t>BADGE « Management en Entreprise » délivré par l'Ecole des Mines de Saint Étienne (label CGE)</t>
  </si>
  <si>
    <t>École nationale supérieure des mines de Saint-Étienne</t>
  </si>
  <si>
    <t>BienoV Brevet Intégration en Entreprise Innovante</t>
  </si>
  <si>
    <t>L'Arche Aux Innovateurs</t>
  </si>
  <si>
    <t>Brevet de collaborateur de chef d'entreprise artisanale maritime</t>
  </si>
  <si>
    <t>Capacité à la méthodologie de projets ISO 21500</t>
  </si>
  <si>
    <t>Enseignement supérieur d'ingénierie appliquée à la thermique, l'énergie et l'environnement (ENSIATE), Globalliance, Maison de l'Industrie</t>
  </si>
  <si>
    <t>Capacité d'innovation culturelle et sociale européenne</t>
  </si>
  <si>
    <t>Relais Culture Europe</t>
  </si>
  <si>
    <t>Cash management</t>
  </si>
  <si>
    <t>Association française des trésoriers d'entreprise</t>
  </si>
  <si>
    <t>Certificat confiance et management</t>
  </si>
  <si>
    <t>Université Paris-Dauphine</t>
  </si>
  <si>
    <t>Certificat d'Analyste Financier International (CIIA - Certified International Investment Analyst)</t>
  </si>
  <si>
    <t>Société Française des Analystes Financiers</t>
  </si>
  <si>
    <t>Certificat de Compétences en Entreprise (CCE) "Animer une équipe de travail"</t>
  </si>
  <si>
    <t>Certificat de Compétences en Entreprise (CCE) "Gérer la paie"</t>
  </si>
  <si>
    <t>Certificat de Compétences en Entreprise (CCE) "Manager un projet"</t>
  </si>
  <si>
    <t>Certificat de compétences en entreprise (CCE) Contribuer à la gestion de l'entreprise</t>
  </si>
  <si>
    <t>Certificat de compétences en psychologie positive au travail</t>
  </si>
  <si>
    <t>Positran</t>
  </si>
  <si>
    <t>Certificat de compétences interculturelles - Réussir dans un environnement multiculturel</t>
  </si>
  <si>
    <t>Akteos</t>
  </si>
  <si>
    <t>Certificat de conseil en organisation et en management du changement</t>
  </si>
  <si>
    <t>Ecole supérieure génie informatique (ANAPIJ)</t>
  </si>
  <si>
    <t>Certificat de maitrise de la solution logicielle de gestion comptable et RH, QUADRA ENTREPRISES</t>
  </si>
  <si>
    <t>Certificat de maîtrise de la solution logicielle de gestion comptable, fiscale et sociale, QUADRA EXPERT</t>
  </si>
  <si>
    <t>Certificat de Maîtrise de la solution logicielle de gestion comptable, fiscale, sociale et juridique, CEGID EXPERT</t>
  </si>
  <si>
    <t>Certificat d'entrepreneur du PCEE</t>
  </si>
  <si>
    <t>Institut Européen de l'Entrepreneuriat</t>
  </si>
  <si>
    <t>Certificat Ecole du Management - cycle « animateur d'équipe »</t>
  </si>
  <si>
    <t>Union des industries et métiers de la métallurgie (UIMM)</t>
  </si>
  <si>
    <t>Certificat Ecole du Management - cycle « responsable d'équipe »</t>
  </si>
  <si>
    <t>Certificat Ecole du Management - cycle « responsable d'unité, de service, de projet »</t>
  </si>
  <si>
    <t>Certificat FLF Contrôle de gestion</t>
  </si>
  <si>
    <t>Francis Lefebvre Formation</t>
  </si>
  <si>
    <t>Certificat FLF Droit des sociétés</t>
  </si>
  <si>
    <t>Certificat FLF Droit Social</t>
  </si>
  <si>
    <t>Certificat FLF Fiscalité de l'entreprise</t>
  </si>
  <si>
    <t>Certificat IFORMAP de compétence en marchés publics</t>
  </si>
  <si>
    <t>Institut de formation aux marchés publics</t>
  </si>
  <si>
    <t>Certificat international en finance d'entreprise (ICCF)</t>
  </si>
  <si>
    <t>Certificat leadership et management complexe</t>
  </si>
  <si>
    <t>Sciences Po Executive Education</t>
  </si>
  <si>
    <t>Certificat national de compétence de mandataire judiciaire à la protection des majeurs mention mesure d'accompagnement judiciaire</t>
  </si>
  <si>
    <t>Certificat national de compétence de mandataire judiciaire à la protection des majeurs mention mesure judiciaire à la protection des majeurs</t>
  </si>
  <si>
    <t>Certificat Professionnel de Contract Management - CPCM</t>
  </si>
  <si>
    <t>Ecole Européenne de Contract Management - E2CM</t>
  </si>
  <si>
    <t>Certification "Finance pour non financiers dans les coopératives agricoles et leurs filiales"</t>
  </si>
  <si>
    <t>Services Coop de France</t>
  </si>
  <si>
    <t>Certification "Perfectionnement Contrôle de gestion dans les coopératives agricoles et leurs filiales"</t>
  </si>
  <si>
    <t>Certification Certified Business Process Associate (CBPA)</t>
  </si>
  <si>
    <t>Certification de Compétence d'Ingénieur Professionnel en Organisation du Travail</t>
  </si>
  <si>
    <t>Certification DiGiTT</t>
  </si>
  <si>
    <t>Alternative Digitale</t>
  </si>
  <si>
    <t>Certification Lean Management Black Belt</t>
  </si>
  <si>
    <t>Certification Lean Management Green Belt</t>
  </si>
  <si>
    <t>Certification Niveau 1 - Pratique de base de l'animation de groupes de Codéveloppement professionnel et managérial</t>
  </si>
  <si>
    <t>Anima - Cecodev</t>
  </si>
  <si>
    <t>Certification Niveau 2 - Pratique avancée de l'animation de groupes et de l'ingénierie d'interventions de Codéveloppement professionnel et managérial</t>
  </si>
  <si>
    <t>Certification PECB - Audit du système de management de la continuité d'activité (SMCA)</t>
  </si>
  <si>
    <t>PECB Groupe</t>
  </si>
  <si>
    <t>Certification PECB - Fondamentaux de la continuité d'activité</t>
  </si>
  <si>
    <t>Certification PECB - Mise en oeuvre du système de management de la continuité d'activité (SMCA)</t>
  </si>
  <si>
    <t>Certification professionnelle management opérationnel de la relation de service tourisme</t>
  </si>
  <si>
    <t>Certidev, CPNE de la restauration commerciale libre-service (cafétérias), CPNE de la restauration de collectivités, CPNE des casinos, CPNE des industries hôtelières</t>
  </si>
  <si>
    <t>Certification Qualigram - Pyx4 Process</t>
  </si>
  <si>
    <t>PYX4</t>
  </si>
  <si>
    <t>Certified Associate in Project Management (Assistant certifié du Chef de Projet)</t>
  </si>
  <si>
    <t>PMI France</t>
  </si>
  <si>
    <t>Certified Business Process Professional (CBPP)</t>
  </si>
  <si>
    <t>Coacher les équipes ou les individus par l'agilité comportementale - Niveau 2 (BADGE)</t>
  </si>
  <si>
    <t>Coacher les talents</t>
  </si>
  <si>
    <t>IDAE Consulting</t>
  </si>
  <si>
    <t>Coaching managérial des individus, des équipes et des organisations</t>
  </si>
  <si>
    <t>La contre-allée, centre international du Coach</t>
  </si>
  <si>
    <t>Coaching professionnel</t>
  </si>
  <si>
    <t>Communication et animation d'équipe</t>
  </si>
  <si>
    <t>CLEF SAS - CP Formation</t>
  </si>
  <si>
    <t>Communication et leadership</t>
  </si>
  <si>
    <t>Compétences coach pour managers</t>
  </si>
  <si>
    <t>Institut des professions des affaires et du commerce (IPAC)</t>
  </si>
  <si>
    <t>Comptabilité d'entreprise</t>
  </si>
  <si>
    <t>Conception et mise en oeuvre de la stratégie</t>
  </si>
  <si>
    <t>Centre européen d'éducation permanente</t>
  </si>
  <si>
    <t>Conception et mise en oeuvre de la stratégie dans un contexte de changement</t>
  </si>
  <si>
    <t>Conception et mise en oeuvre d'un projet artistique</t>
  </si>
  <si>
    <t>Concevoir et animer des ateliers coopératifs</t>
  </si>
  <si>
    <t>AVEA Partners</t>
  </si>
  <si>
    <t>Concevoir et mettre en oeuvre un processus de motivation et d'engagement des collaborateurs sur un but commun</t>
  </si>
  <si>
    <t>Mogador-CF</t>
  </si>
  <si>
    <t>Concevoir une activité entrepreneuriale sur internet</t>
  </si>
  <si>
    <t>Conduire le processus d'innovation de l'entreprise</t>
  </si>
  <si>
    <t>Conduire un projet : complexité élevée et/ou un portefeuille de projets</t>
  </si>
  <si>
    <t>Conduire un projet : complexité moyenne</t>
  </si>
  <si>
    <t>Conduite du changement en équipe</t>
  </si>
  <si>
    <t>Conseil en organisation et management d'entreprise</t>
  </si>
  <si>
    <t>Construire et conduire un projet entrepreneurial</t>
  </si>
  <si>
    <t>BGE Réseau</t>
  </si>
  <si>
    <t>Contentieux de la Sécurité sociale (DU)</t>
  </si>
  <si>
    <t>Contrôle de gestion - CP FFP</t>
  </si>
  <si>
    <t>Contrôle et suivi des opérations de trésorerie</t>
  </si>
  <si>
    <t>Coordonner et piloter un projet d'ingénierie (PMO)</t>
  </si>
  <si>
    <t>CP FFP contrôle de gestion</t>
  </si>
  <si>
    <t>CP FFP piloter un projet</t>
  </si>
  <si>
    <t>Créer et développer une activité d'indépendant</t>
  </si>
  <si>
    <t>Trajectoires Missioneo</t>
  </si>
  <si>
    <t>Créer une startup technologique innovante (HEC Challenge+)</t>
  </si>
  <si>
    <t>Créer, piloter et animer un Living Lab</t>
  </si>
  <si>
    <t>Institut catholique de Lille</t>
  </si>
  <si>
    <t>Créez la cohésion de vos équipes</t>
  </si>
  <si>
    <t>MJ Conseil en RH</t>
  </si>
  <si>
    <t>De l'expérience à l'excellence client : Accompagner et animer les projets au sein d'une organisation</t>
  </si>
  <si>
    <t>De l'expérience à l'excellence client : Manager et accompagner son équipe</t>
  </si>
  <si>
    <t>Déploiement d'activités nouvelles</t>
  </si>
  <si>
    <t>Nouvelle Ressource (Campus Audace)</t>
  </si>
  <si>
    <t>Design Thinking</t>
  </si>
  <si>
    <t>Développement économique par l'innovation, créateur et capteur de valeur</t>
  </si>
  <si>
    <t>Développer la performance par le management motivationnel</t>
  </si>
  <si>
    <t>CRECI Management</t>
  </si>
  <si>
    <t>Développer l'agilité relationnelle</t>
  </si>
  <si>
    <t>Développer ses capacités managériales</t>
  </si>
  <si>
    <t>Développer ses compétences pour manager des manageurs</t>
  </si>
  <si>
    <t>Développer son leadership par la communication interpersonnelle</t>
  </si>
  <si>
    <t>All positive</t>
  </si>
  <si>
    <t>Développer son réseau d'affaires en consulting</t>
  </si>
  <si>
    <t>Dtalents</t>
  </si>
  <si>
    <t>Développer un projet artistique dans le spectacle vivant</t>
  </si>
  <si>
    <t>Développer un projet entrepreneurial réussi</t>
  </si>
  <si>
    <t>Diplôme d'études internationales de la propriété industrielle option brevets d'invention</t>
  </si>
  <si>
    <t>Ministère de l'économie et des finances, Centre d'études internationales de la propriété intellectuelle (CEIPI) / Université de Strasbourg</t>
  </si>
  <si>
    <t>Diplôme d'études internationales de la propriété industrielle option marques, dessins et modèles</t>
  </si>
  <si>
    <t>Diplôme d'étudiant-entrepreneur (D2E)</t>
  </si>
  <si>
    <t>Pépite Ozer Grenoble</t>
  </si>
  <si>
    <t>Direction d'un centre de profit</t>
  </si>
  <si>
    <t>Diriger et concevoir des stratégies innovantes de développement</t>
  </si>
  <si>
    <t>Droit des contrats</t>
  </si>
  <si>
    <t>Droit des sociétés - CP FFP</t>
  </si>
  <si>
    <t>Droits des contenus et médias numériques</t>
  </si>
  <si>
    <t>Institut national de l'audiovisuel (INA)</t>
  </si>
  <si>
    <t>DU Business Management</t>
  </si>
  <si>
    <t>Élaboration du budget d'une TPE/PME</t>
  </si>
  <si>
    <t>Myard Consulteam - DAF Online</t>
  </si>
  <si>
    <t>Émergence d'activités nouvelles</t>
  </si>
  <si>
    <t>Encadrer et animer une équipe en proximité</t>
  </si>
  <si>
    <t>Entreprendre et gérer une production phonographique</t>
  </si>
  <si>
    <t>IRMA</t>
  </si>
  <si>
    <t>Entrepreneuriat par l'innovation technologique</t>
  </si>
  <si>
    <t>Évaluateur ICA responsabilité sociétale des organisations</t>
  </si>
  <si>
    <t>Facilitateur de l'intelligence collective</t>
  </si>
  <si>
    <t>Didascalis</t>
  </si>
  <si>
    <t>Finance d'entreprise - CP FFP</t>
  </si>
  <si>
    <t>Finance pour Dirigeant</t>
  </si>
  <si>
    <t>Fondamentaux de la finance</t>
  </si>
  <si>
    <t>Fondamentaux du management à l'ère numérique</t>
  </si>
  <si>
    <t>Générer des concepts et des solutions innovants</t>
  </si>
  <si>
    <t>Gérer et animer un centre de profit</t>
  </si>
  <si>
    <t>Gérer et piloter un projet digital</t>
  </si>
  <si>
    <t>Gérer la paie et les déclarations sociales</t>
  </si>
  <si>
    <t>Gereso</t>
  </si>
  <si>
    <t>Gérer les équipes avec agilité</t>
  </si>
  <si>
    <t>BiCom</t>
  </si>
  <si>
    <t>Gestion de la paie et des charges sociales - CP FFP</t>
  </si>
  <si>
    <t>Gestion de l'agressivité et des troubles du comportement</t>
  </si>
  <si>
    <t>Groupe 9 Academy</t>
  </si>
  <si>
    <t>Gestion de projet</t>
  </si>
  <si>
    <t>Gestion de projet agile avec Scrum</t>
  </si>
  <si>
    <t>Gestion de projet client dans le domaine numérique</t>
  </si>
  <si>
    <t>Gestion des financements et placements</t>
  </si>
  <si>
    <t>Gestion des risques de change et taux</t>
  </si>
  <si>
    <t>Gestion et management de projet en France et à l'international</t>
  </si>
  <si>
    <t>Altran Education Services</t>
  </si>
  <si>
    <t>Gestion quotidienne et prévisionnelle de trésorerie</t>
  </si>
  <si>
    <t>Gestionnaire de paie en cabinet d'expertise comptable</t>
  </si>
  <si>
    <t>Pay Job</t>
  </si>
  <si>
    <t>Intégrer les bonnes pratiques de la responsabilité sociétale de l'entreprise dans la conduite du changement</t>
  </si>
  <si>
    <t>Ecole Nouvelle d'Organisation Economique et Sociale (ENOES ), Ecole de l'expertise comptable et de l'audit (groupe ENOES)</t>
  </si>
  <si>
    <t>Je deviens Entrepreneur</t>
  </si>
  <si>
    <t>ADIE - Association pour le Droit à l'Initiative Economique</t>
  </si>
  <si>
    <t>La Gestion de Projet</t>
  </si>
  <si>
    <t>La reprise d'entreprise - les outils pour réussir</t>
  </si>
  <si>
    <t>Association CRA - Cédants et repreneurs d'affaires</t>
  </si>
  <si>
    <t>Lancement d'activités nouvelles</t>
  </si>
  <si>
    <t>Le contrôle de gestion en entreprise</t>
  </si>
  <si>
    <t>Le développement de projet innovant (niveau 1)</t>
  </si>
  <si>
    <t>OpenClassrooms</t>
  </si>
  <si>
    <t>Le management collaboratif par les objectifs</t>
  </si>
  <si>
    <t>Advanseez</t>
  </si>
  <si>
    <t>Le management de la performance par le TEEP®</t>
  </si>
  <si>
    <t>Franz Dorner Formation</t>
  </si>
  <si>
    <t>Le parcours du manager</t>
  </si>
  <si>
    <t>Formatic centre</t>
  </si>
  <si>
    <t>Lead Auditor ISO 22301</t>
  </si>
  <si>
    <t>La sécurité des technologies de l'information</t>
  </si>
  <si>
    <t>Lead Implementer ISO 22301</t>
  </si>
  <si>
    <t>Leadership dans un contexte de changement</t>
  </si>
  <si>
    <t>Leadership et Management</t>
  </si>
  <si>
    <t>Leadership et motivation des équipes</t>
  </si>
  <si>
    <t>In.quipio</t>
  </si>
  <si>
    <t>Leadership personnel et excellence collective</t>
  </si>
  <si>
    <t>Ecole centrale de Lyon / Université de Lyon</t>
  </si>
  <si>
    <t>Leadership, inspirer et engager</t>
  </si>
  <si>
    <t>Moortgat</t>
  </si>
  <si>
    <t>Lean management</t>
  </si>
  <si>
    <t>Les Clefs du Management Opérationnel</t>
  </si>
  <si>
    <t>Les compétences managériales</t>
  </si>
  <si>
    <t>ISQ</t>
  </si>
  <si>
    <t>Les fondamentaux du management</t>
  </si>
  <si>
    <t>Les fondamentaux du management de proximité</t>
  </si>
  <si>
    <t>AGISS Formation</t>
  </si>
  <si>
    <t>Les missions en droit social pour un responsable du personnel</t>
  </si>
  <si>
    <t>Fidal Formation</t>
  </si>
  <si>
    <t>Les missions juridiques pour un responsable paie (CP FFP)</t>
  </si>
  <si>
    <t>Livret de formation CIF - capacité professionnelle des conseillers en investissements financiers</t>
  </si>
  <si>
    <t>Ministère de l'économie et des finances, Registre unique des intermédiaires en assurance, banque et finance</t>
  </si>
  <si>
    <t>Maîtrise du droit social en entreprise</t>
  </si>
  <si>
    <t>Maitriser les clés du leadership et de la stratégie en environnement complexe</t>
  </si>
  <si>
    <t>Institut européen d'administration des affaires de Fontainebleau (INSEAD)</t>
  </si>
  <si>
    <t>Management collaboratif</t>
  </si>
  <si>
    <t>COEF Continu</t>
  </si>
  <si>
    <t>Management de la Performance</t>
  </si>
  <si>
    <t>Management de la performance collective</t>
  </si>
  <si>
    <t>Oasys mobilisation</t>
  </si>
  <si>
    <t>Management de Projet - Gestion avancée de projet : qualité, coûts, délais et risques</t>
  </si>
  <si>
    <t>CPNE des bureaux d'études techniques, cabinets d'ingénieurs conseils et sociétés de conseils</t>
  </si>
  <si>
    <t>Management de Projet - Gestion commerciale et contractuelle d'un projet</t>
  </si>
  <si>
    <t>Management de Projet - Gestion de programme et de portefeuille de projets</t>
  </si>
  <si>
    <t>Management de Projet - Gestion d'un projet d'ingénierie</t>
  </si>
  <si>
    <t>Management de Projet - Gestion d'un projet numérique</t>
  </si>
  <si>
    <t>Management de Projet - Gestion opérationnelle de projet</t>
  </si>
  <si>
    <t>Management de Projet - Management des acteurs de projet</t>
  </si>
  <si>
    <t>Management de projets dans un environnement opérationnel des industries de défense et de sécurité</t>
  </si>
  <si>
    <t>Saint Cyr Formation Continue</t>
  </si>
  <si>
    <t>Management de projets en situation complexe</t>
  </si>
  <si>
    <t>Management de projets opérationnels</t>
  </si>
  <si>
    <t>Management de proximité</t>
  </si>
  <si>
    <t>Groupe DMM</t>
  </si>
  <si>
    <t>Management de proximité - Cohésion et gestion des relations de l'équipe</t>
  </si>
  <si>
    <t>CPNE de la métallurgie, CPNE de l'industrie textile, CPNE de l'intersecteurs papiers-cartons, CPNE des industries de l'habillement</t>
  </si>
  <si>
    <t>Management de proximité - CP FFP</t>
  </si>
  <si>
    <t>Management de proximité - Gestion des activités de l'équipe</t>
  </si>
  <si>
    <t>Management de proximité - Gestion opérationnelle des ressources humaines de l'équipe</t>
  </si>
  <si>
    <t>Management de proximité (CP FFP)</t>
  </si>
  <si>
    <t>Management de transition</t>
  </si>
  <si>
    <t>Institut de formation au management de transition</t>
  </si>
  <si>
    <t>Management d'équipe</t>
  </si>
  <si>
    <t>Management d'équipe et efficience</t>
  </si>
  <si>
    <t>Management des équipes</t>
  </si>
  <si>
    <t>Management des Intelligences de l'organisation</t>
  </si>
  <si>
    <t>Herrmann International Europe</t>
  </si>
  <si>
    <t>Management des relations d'équipe</t>
  </si>
  <si>
    <t>Evolugo</t>
  </si>
  <si>
    <t>Management des Risques Financiers et Assurantiels</t>
  </si>
  <si>
    <t>Institut des actuaires</t>
  </si>
  <si>
    <t>Management du changement</t>
  </si>
  <si>
    <t>Management du changement pour les organisations de demain</t>
  </si>
  <si>
    <t>Management Général Avancé</t>
  </si>
  <si>
    <t>Management opérationnel</t>
  </si>
  <si>
    <t>Management opérationnel Agile</t>
  </si>
  <si>
    <t>Jobbing partner</t>
  </si>
  <si>
    <t>Management stratégique : Diriger un centre de profit, une unité, une "business unit" (CP FFP)</t>
  </si>
  <si>
    <t>Management stratégique de l'innovation et des services</t>
  </si>
  <si>
    <t>Association Groupe ESSEC</t>
  </si>
  <si>
    <t>Management stratégique d'une PME / TPE</t>
  </si>
  <si>
    <t>ScoConseil</t>
  </si>
  <si>
    <t>Manager Expérimenté</t>
  </si>
  <si>
    <t>Manager la diversité et obtenir l'adhésion individuelle et collective pour créer la cohésion d'équipe</t>
  </si>
  <si>
    <t>Manager la diversité interculturelle et intergénérationnelle</t>
  </si>
  <si>
    <t>Manager les équipes dans les organisations complexes</t>
  </si>
  <si>
    <t>Atorg</t>
  </si>
  <si>
    <t>Manager piloter au quotidien</t>
  </si>
  <si>
    <t>Manager un projet</t>
  </si>
  <si>
    <t>Manager une activité (BADGE)</t>
  </si>
  <si>
    <t>Manager une équipe : fondamentaux</t>
  </si>
  <si>
    <t>Manager une équipe : perfectionnement</t>
  </si>
  <si>
    <t>Manager une équipe au quotidien</t>
  </si>
  <si>
    <t>Institut François Bocquet</t>
  </si>
  <si>
    <t>Manager une équipe de managers</t>
  </si>
  <si>
    <t>Manager une équipe de proximité</t>
  </si>
  <si>
    <t>Médiation inter-entreprises</t>
  </si>
  <si>
    <t>Chambres de commerce et d'industrie (CCI), Ecole supérieure de management (ESCP Europe)</t>
  </si>
  <si>
    <t>Mettre en oeuvre la révolution digitale dans son entreprise</t>
  </si>
  <si>
    <t>Mieux collaborer avec son équipe et ses interlocuteurs</t>
  </si>
  <si>
    <t>Mode collaboratif, capitaliser sur le travail en équipe</t>
  </si>
  <si>
    <t>Nouveau Manager</t>
  </si>
  <si>
    <t>Opérer des choix professionnels en environnement complexe</t>
  </si>
  <si>
    <t>Primaveras</t>
  </si>
  <si>
    <t>Optimisation de la performance opérationnelle</t>
  </si>
  <si>
    <t>Optimiser son leadership et concevoir une stratégie en environnement complexe</t>
  </si>
  <si>
    <t>Organiser l'entreprise agile</t>
  </si>
  <si>
    <t>Pilotage de la performance dans le secteur public (CP FFP)</t>
  </si>
  <si>
    <t>LVSN</t>
  </si>
  <si>
    <t>Pilotage de prestataires</t>
  </si>
  <si>
    <t>Pilotage des entretiens annuels</t>
  </si>
  <si>
    <t>Altius Conseil</t>
  </si>
  <si>
    <t>Pilotage des fusions-acquisitions</t>
  </si>
  <si>
    <t>Piloter le processus d'acquisition d'une entreprise</t>
  </si>
  <si>
    <t>Altheo</t>
  </si>
  <si>
    <t>Piloter l'innovation</t>
  </si>
  <si>
    <t>Piloter une action de recherche</t>
  </si>
  <si>
    <t>Pour intégrer le design dans la stratégie d'entreprise</t>
  </si>
  <si>
    <t>EPCC Cité du design - Ecole d'art et de design Saint-Etienne</t>
  </si>
  <si>
    <t>Praticien Légal a la Protection des Données Personnelles</t>
  </si>
  <si>
    <t>Institut supérieur d'électronique de Paris (ISEP)</t>
  </si>
  <si>
    <t>Praticien technique à la protection des données personnelles</t>
  </si>
  <si>
    <t>Préparation de la paye et des déclarations associées</t>
  </si>
  <si>
    <t>Union professionnelle des professeurs, cadres et techniciens du secrétariat et de la comptabilité</t>
  </si>
  <si>
    <t>PRINCE2® - Gestion de projet - Niveau Fondation</t>
  </si>
  <si>
    <t>AXELOS Limited</t>
  </si>
  <si>
    <t>PRINCE2® - Gestion de projet - Niveau Praticien</t>
  </si>
  <si>
    <t>Project management professional (professionnel en management de projet)</t>
  </si>
  <si>
    <t>Renforcer sa posture et sa pratique de manager de proximité</t>
  </si>
  <si>
    <t>Repreneur d'entreprise</t>
  </si>
  <si>
    <t>Sciences Po - Executive Education - Parcours certifiant : culture économique et sociale</t>
  </si>
  <si>
    <t>Institut d'études politiques (Sciences po) de Paris</t>
  </si>
  <si>
    <t>Stage de préparation à l'installation (SPI)</t>
  </si>
  <si>
    <t>Assemblée permanente des chambres de métiers et de l'artisanat</t>
  </si>
  <si>
    <t>Stimuler l'intelligence collective</t>
  </si>
  <si>
    <t>Stratège de la transformation</t>
  </si>
  <si>
    <t>Stratégie financière, financement et évaluation d'entreprise</t>
  </si>
  <si>
    <t>HEC executive education</t>
  </si>
  <si>
    <t>Stratégie pour l'exportation et l'internationalisation des PME</t>
  </si>
  <si>
    <t>Stratexio</t>
  </si>
  <si>
    <t>TECODI : certification aux compétences digitales</t>
  </si>
  <si>
    <t>Utiliser les techniques de coaching dans l'accompagnement des individus et des équipes</t>
  </si>
  <si>
    <t>Institut de formation aux métiers de l'accompagnement</t>
  </si>
  <si>
    <t>Habillement</t>
  </si>
  <si>
    <t>CAO métiers mode et textile</t>
  </si>
  <si>
    <t>CPNE de l'industrie textile, CPNE des industries de l'habillement</t>
  </si>
  <si>
    <t>Hôtellerie restauration</t>
  </si>
  <si>
    <t>Certificat de cuisinier de navire</t>
  </si>
  <si>
    <t>Cuisine et Pâtisserie de Santé®</t>
  </si>
  <si>
    <t>Institut Michel Guérard</t>
  </si>
  <si>
    <t>Formation spécifique en matière d'hygiène alimentaire adaptée à l'activité des établissements de restauration commerciale</t>
  </si>
  <si>
    <t>Immobilier</t>
  </si>
  <si>
    <t>Certification en financement de l'immobilier corporate</t>
  </si>
  <si>
    <t>Ecole nationale du financement de l'immobilier</t>
  </si>
  <si>
    <t>Compétences managériales et transversales des dirigeants du logement social (DU)</t>
  </si>
  <si>
    <t>Montage d'opérations immobilières</t>
  </si>
  <si>
    <t>Industrie graphique imprimerie</t>
  </si>
  <si>
    <t>Adobe Illustrator (certification officielle éditeur)</t>
  </si>
  <si>
    <t>Adobe</t>
  </si>
  <si>
    <t>Adobe InDesign (certification officielle éditeur)</t>
  </si>
  <si>
    <t>Adobe Photoshop (certification officielle éditeur)</t>
  </si>
  <si>
    <t>Certificat de maîtrise des fondamentaux de l'animation avec After Effects</t>
  </si>
  <si>
    <t>Pyramyd NTCV</t>
  </si>
  <si>
    <t>Design Graphique</t>
  </si>
  <si>
    <t>Graphisme - Fondamentaux et bases techniques (CP FFP)</t>
  </si>
  <si>
    <t>Créa image communication</t>
  </si>
  <si>
    <t>Graphisme 3D sur Cinema 4D - fondamentaux et bases techniques - (CP FFP)</t>
  </si>
  <si>
    <t>Infographie plurimédia</t>
  </si>
  <si>
    <t>Montages Motion Design</t>
  </si>
  <si>
    <t>Motion design avec After Effects et Cinema 4D - Bases techniques</t>
  </si>
  <si>
    <t>Spécialisation électronique imprimée et impression fonctionnelle</t>
  </si>
  <si>
    <t>Ecole internationale du papier, de la communication imprimée et des biomatériaux (PAGORA) / Institut Polytechnique de Grenoble (Grenoble INP)</t>
  </si>
  <si>
    <t>Informatique</t>
  </si>
  <si>
    <t>Accompagnement à la citoyenneté numérique</t>
  </si>
  <si>
    <t>Ecole Normale Sociale, Initiatives, Institut des ressources en intervention sociale (IRIS), Institut régional du travail social de Paris</t>
  </si>
  <si>
    <t>Accompagnement à la mise en place d'un réservoir de données métier</t>
  </si>
  <si>
    <t>Administration base de données ORACLE</t>
  </si>
  <si>
    <t>Administration base de données SQL Server</t>
  </si>
  <si>
    <t>Administrer, transcoder et diffuser des fichiers audio-video en TV et web</t>
  </si>
  <si>
    <t>IIFA</t>
  </si>
  <si>
    <t>Adobe Dreamweaver (certification officielle éditeur)</t>
  </si>
  <si>
    <t>Adobe Flash (certification officielle éditeur)</t>
  </si>
  <si>
    <t>Adobe Premiere Pro (certification officielle éditeur)</t>
  </si>
  <si>
    <t>Adobe Première Pro CC : prise en main</t>
  </si>
  <si>
    <t>After Effects - spécialisation animation et Duik</t>
  </si>
  <si>
    <t>Carpé média</t>
  </si>
  <si>
    <t>After effects : pratiquer l'animation 2D et 3D</t>
  </si>
  <si>
    <t>Analyse logicielle avec UML (Niveau 1)</t>
  </si>
  <si>
    <t>Analyser les données : intégration, exploitation, visualisation, industrialisation</t>
  </si>
  <si>
    <t>ECAM Strasbourg-Europe</t>
  </si>
  <si>
    <t>Apple Certified Pro - Logic Pro X</t>
  </si>
  <si>
    <t>LearnQuest France</t>
  </si>
  <si>
    <t>Apple Certified Support Professional</t>
  </si>
  <si>
    <t>Architecture cybersécurité</t>
  </si>
  <si>
    <t>Architecture de protocole de registres distribués Blockchain</t>
  </si>
  <si>
    <t>ERI consulting (ERI institute), Centre d'affaires Emergence</t>
  </si>
  <si>
    <t>Architecture en cybersécurité</t>
  </si>
  <si>
    <t>Télécom Bretagne</t>
  </si>
  <si>
    <t>Assistance à la maîtrise d'ouvrage</t>
  </si>
  <si>
    <t>Assistance aux activités médicales - Pratiques avancées en secrétariat médical</t>
  </si>
  <si>
    <t>Vidal Formation</t>
  </si>
  <si>
    <t>Assistance Informatique Utilisateurs Niveau 1</t>
  </si>
  <si>
    <t>Assistance Informatique Utilisateurs Niveau 2</t>
  </si>
  <si>
    <t>Assister efficacement le chef d'entreprise BTP dans ses missions financières, juridiques et humaines</t>
  </si>
  <si>
    <t>Assister un directeur</t>
  </si>
  <si>
    <t>Assister une Equipe ou un Manager - perfectionnement</t>
  </si>
  <si>
    <t>Auditeur ICA sécurité de l'information</t>
  </si>
  <si>
    <t>Auditeur ICA services informatiques</t>
  </si>
  <si>
    <t>Autodesk 3ds Max (ACU certification officielle éditeur)</t>
  </si>
  <si>
    <t>Autodesk AutoCAD (ACU certification officielle éditeur)</t>
  </si>
  <si>
    <t>Autodesk Inventor (ACU certification officielle éditeur)</t>
  </si>
  <si>
    <t>Autodesk Maya (ACU certification officielle éditeur)</t>
  </si>
  <si>
    <t>AWS Certified Developer Associate</t>
  </si>
  <si>
    <t>Amazon Support Services France</t>
  </si>
  <si>
    <t>AWS Certified Solutions Architect Associate</t>
  </si>
  <si>
    <t>AWS Certified Solutions Architect Professional</t>
  </si>
  <si>
    <t>AWS Certified SysOps Administrator Associate</t>
  </si>
  <si>
    <t>Big Data : récolte et analyse de données volumineuses</t>
  </si>
  <si>
    <t>Big Data et processus décisionnel</t>
  </si>
  <si>
    <t>Brevet informatique et internet (B2i) collège</t>
  </si>
  <si>
    <t>Brevet informatique et internet (B2i) école</t>
  </si>
  <si>
    <t>Brevet informatique et internet (B2i) lycée</t>
  </si>
  <si>
    <t>Brevet informatique et Internet pour adultes (B2I adultes)</t>
  </si>
  <si>
    <t>C_ACT - SAP Certified Associate - SAP Activate Project Manager</t>
  </si>
  <si>
    <t>SAP France</t>
  </si>
  <si>
    <t>C_AR_CONT - SAP Certified Application Associate - Ariba Contract Management</t>
  </si>
  <si>
    <t>C_AR_P2P - SAP Certified Application Associate - Ariba Procure-to-Pay (P2P)</t>
  </si>
  <si>
    <t>C_AUDSEC - SAP Certified Technology Associate - SAP Authorization and Auditing for SAP NetWeaver</t>
  </si>
  <si>
    <t>C_BOBIP - SAP Certified Application Associate - SAP BusinessObjects Business Intelligence Platform</t>
  </si>
  <si>
    <t>C_BOCR - SAP Certified Application Associate - SAP Crystal Reports</t>
  </si>
  <si>
    <t>C_BOWI - SAP Certified Application Associate - SAP BusinessObjects Web Intelligence</t>
  </si>
  <si>
    <t>C_DS - SAP Certified Application Associate - Data Integration with SAP Data Services</t>
  </si>
  <si>
    <t>C_E2E100 - SAP Certified Technology Associate - SAP Solution Manager (Root Cause Analysis)</t>
  </si>
  <si>
    <t>C_E2E200 - Change Control Management Expert - SAP E2E Solution Operations</t>
  </si>
  <si>
    <t>C_E2E300 - SAP Certified Technology Associate - Business Process Monitoring for SAP Solution Manager</t>
  </si>
  <si>
    <t>C_EP - SAP Certified Technology Associate - NetWeaver Portal</t>
  </si>
  <si>
    <t>C_EPMBPC - SAP Certified Application Associate - SAP BusinessObjects Planning and Consolidation</t>
  </si>
  <si>
    <t>C_EWM - SAP Certified Application Associate - SAP Extended Warehouse Management</t>
  </si>
  <si>
    <t>C_FIORDEV - SAP Certified Development Associate - SAP Fiori Application Developer</t>
  </si>
  <si>
    <t>C_GRCAC - SAP Certified Associate - Access Control with SBO GRC</t>
  </si>
  <si>
    <t>C_HANADEV - Certified Development Associate - SAP HANA</t>
  </si>
  <si>
    <t>C_HANAIMP - SAP Certified Application Associate - SAP HANA</t>
  </si>
  <si>
    <t>C_HANATEC - SAP Certified Technology Associate - SAP HANA</t>
  </si>
  <si>
    <t>C_HCMPAY - SAP Certified Application Associate - SAP HCM Payroll with SAP ERP</t>
  </si>
  <si>
    <t>C_HCP - SAP Certified Development Associate - SAP HANA Cloud Platform</t>
  </si>
  <si>
    <t>C_ISR - SAP Certified Application Associate - Retail with SAP ERP</t>
  </si>
  <si>
    <t>C_S4IMP - SAP Certified Technology Associate - SAP S/4HANA Implémentation</t>
  </si>
  <si>
    <t>C_SM100 - SAP Certified Technology Associate - SAP Solution Manager Configuration Expert</t>
  </si>
  <si>
    <t>C_SM200 - SAP Certified Technology Associate - SAP Solution Manager Change Request Management and Service Desk Expert</t>
  </si>
  <si>
    <t>C_SM300 - SAP Certified Technology Associate - Business Process &amp; Interface Monitoring for SAP Solution Manager</t>
  </si>
  <si>
    <t>C_SRM - SAP Certified Application Associate - Supplier Relationship Management</t>
  </si>
  <si>
    <t>C_TADM51 - SAP Certified Technology Associate - System Administration (Oracle DB) with SAP NetWeaver</t>
  </si>
  <si>
    <t>C_TADM54 - SAP Certified Technology Associate - System Administration SAP ASE with SAP NetWeaver</t>
  </si>
  <si>
    <t>C_TADM55 - SAP Certified Technology Associate - System Administration (SAP HANA as a database) with SAP NetWeaver</t>
  </si>
  <si>
    <t>C_TADM70 - OS DB Migration for SAP NetWeaver</t>
  </si>
  <si>
    <t>C_TAW12 - SAP Certified Development Associate- ABAP with SAP NetWeaver</t>
  </si>
  <si>
    <t>C_TBW50H - SAP Certified Application Associate - Modeling and Data Acquisition with SAP BW on HANA</t>
  </si>
  <si>
    <t>C_TBW60 - SAP Certified Application Associate - Modeling and Data Management with SAP BW</t>
  </si>
  <si>
    <t>C_TCRM20 - SAP Certified Application Associate - CRM Fundamentals with SAP CRM</t>
  </si>
  <si>
    <t>C_TERP10 - SAP Certified - Associate Business Foundation and Integration with SAP ERP</t>
  </si>
  <si>
    <t>C_TFIN22 - SAP Certified Application Associate - Management Accounting (CO) with SAP ERP</t>
  </si>
  <si>
    <t>C_TFIN52 - SAP Certified Application Associate - Financial Accounting with SAP ERP</t>
  </si>
  <si>
    <t>C_THR12 - SAP Certified Application Associate - Human Capital Management with SAP ERP</t>
  </si>
  <si>
    <t>C_THR81- SAP Certified Application Associate - Cloud HCM Employee Central</t>
  </si>
  <si>
    <t>C_THR82 - SAP Certified Application Associate - SAP SuccessFactors Performance and Goals</t>
  </si>
  <si>
    <t>C_THR83 - SAP Certified Application Associate - SAP SuccessFactors Recruitment Management</t>
  </si>
  <si>
    <t>C_THR84 - SAP Certified Application Associate - SAP SuccessFactors Recruiting Marketing</t>
  </si>
  <si>
    <t>C_THR85 - SAP Certified Application Associate - SAP SuccessFactors Succession Management</t>
  </si>
  <si>
    <t>C_THR86 - SAP SuccessFactors Compensation</t>
  </si>
  <si>
    <t>C_THR87 - SAP Certified Application Associate - SAP SuccessFactors Variable Pay</t>
  </si>
  <si>
    <t>C_THR88 - SAP Certified Application Associate - SuccessFactors Learning</t>
  </si>
  <si>
    <t>C_THR91 - SAP Certified Application Associate - SAP SuccessFactors Onboarding</t>
  </si>
  <si>
    <t>C_THR95 - SAP Certified Application Associate - SAP SuccessFactors Career Development Planning</t>
  </si>
  <si>
    <t>C_TPLM30 - SAP Certified Associate - Enterprise Asset Management (Maintenance &amp; Repair) with SAP ERP</t>
  </si>
  <si>
    <t>C_TPLM40 - SAP Certified Application Associate - Quality Management with SAP ERP</t>
  </si>
  <si>
    <t>C_TS410 - SAP Certified Application Associate - Integrated Business Processes in SAP S/4HANA</t>
  </si>
  <si>
    <t>C_TS450 - SAP Certified Application Associate - SAP S/4HANA Sourcing and Procurement</t>
  </si>
  <si>
    <t>C_TS460 - SAP Certified Application Associate - SAP S/4HANA Sales</t>
  </si>
  <si>
    <t>C_TS4C - SAP Certified Application Associate - SAP S/4HANA Cloud Onboarding</t>
  </si>
  <si>
    <t>C_TS4FI - SAP Certified Application Associate - SAP S/4HANA Finance for Financial Accounting Associates</t>
  </si>
  <si>
    <t>C_TSCM42 - SAP Certified Application Associate - Production - Planning &amp; Manufacturing with SAP ERP</t>
  </si>
  <si>
    <t>C_TSCM52 - SAP Certified Application Associate - Procurement with SAP ERP</t>
  </si>
  <si>
    <t>C_TSCM62 - SAP Certified Application Associate - Sales and Distribution with SAP ERP</t>
  </si>
  <si>
    <t>C_TSCM66 - Logistics Execution and Warehouse Management with SAP ERP</t>
  </si>
  <si>
    <t>Certificat #BonjourLaPresse ou #GoodMorningLaPresse</t>
  </si>
  <si>
    <t>Alliance pour les Chiffres de la Presse et des Médias</t>
  </si>
  <si>
    <t>Certificat Assistanat en maîtrise d'ouvrage immobilière</t>
  </si>
  <si>
    <t>Certificat BIM Manager</t>
  </si>
  <si>
    <t>Université de technologie de Troyes (UTT)</t>
  </si>
  <si>
    <t>Certificat d'Aptitude à la Business Analyse (CABA)</t>
  </si>
  <si>
    <t>Chambres de commerce et d'industrie (CCI), Ecole supérieure en informatique, gestion, management par alternance (ITESCIA)</t>
  </si>
  <si>
    <t>Certificat de capacité à concevoir et produire les contenus vidéos de son entreprise</t>
  </si>
  <si>
    <t>Certificat de capacité à développer et à diffuser un projet photographique d'auteur</t>
  </si>
  <si>
    <t>Ministère de la culture, Ecole nationale supérieure de la photographie (ENSP)</t>
  </si>
  <si>
    <t>Certificat de capacité à diversifier son activité de professionnel de l'image</t>
  </si>
  <si>
    <t>Certificat de capacité à gérer et à optimiser la production d'une commande photographique numérique</t>
  </si>
  <si>
    <t>Certificat de capacité à la création et à la gestion d'une page Facebook pour une entreprise</t>
  </si>
  <si>
    <t>Certificat de capacité à la création et à l'administration d'un site web avec le CMS Wordpress</t>
  </si>
  <si>
    <t>Certificat de capacité à la gestion de bases de données digitales et au mailing d'entreprise</t>
  </si>
  <si>
    <t>Certificat de capacité à la gestion du trafic web via l'outil Google Analytics</t>
  </si>
  <si>
    <t>Certificat de capacité à la mise en oeuvre des bonnes pratiques en vue de l'amélioration du référencement d'un site internet</t>
  </si>
  <si>
    <t>Certificat de capacité à la production de contenus multimédias éditoriaux diffusées sur internet et relayés sur les réseaux sociaux</t>
  </si>
  <si>
    <t>L'Obs - Rue89 Formation</t>
  </si>
  <si>
    <t>Certificat de capacité à la rédaction de contenus web</t>
  </si>
  <si>
    <t>Certificat de capacité à la rédaction d'un cahier des charges et à la gestion de projet en vue de la création/refonte d'un site internet</t>
  </si>
  <si>
    <t>Certificat de capacité à réaliser les maquettes graphiques d'interfaces web et mobiles</t>
  </si>
  <si>
    <t>Certificat de capacité au développement de son thème enfant sur Wordpress</t>
  </si>
  <si>
    <t>Certificat de maîtrise des fondamentaux de la création et de la production de sites web</t>
  </si>
  <si>
    <t>Certificat de maîtrise des fondamentaux de l'Ux design ou expérience utilisateur</t>
  </si>
  <si>
    <t>Certificat de Webdesigner (pour sourds et malentendants signant en LSF)</t>
  </si>
  <si>
    <t>Signes et Formation</t>
  </si>
  <si>
    <t>Certificat Européen en Publicité EAC (European Advertising Certificate)</t>
  </si>
  <si>
    <t>European association of communications agencies</t>
  </si>
  <si>
    <t>Certificat informatique et internet - niveau 1</t>
  </si>
  <si>
    <t>Ministère de l'enseignement supérieur, de la recherche et de l'innovation</t>
  </si>
  <si>
    <t>Certificat informatique et internet - niveau 2 « enseignant »</t>
  </si>
  <si>
    <t>Certificat informatique et internet - niveau 2 fonctions d'organisation et de communication</t>
  </si>
  <si>
    <t>Certificat TopSolid'ERP</t>
  </si>
  <si>
    <t>Confédération générale des petites et moyennes entreprises (CGPME), Missler Software</t>
  </si>
  <si>
    <t>Certificat TopSolid'Wood</t>
  </si>
  <si>
    <t>Certification "Communication stratégique dans les coopératives agricoles et leurs filiales"</t>
  </si>
  <si>
    <t>Certification "Transformation numérique en coopératives agricoles et leurs filiales"</t>
  </si>
  <si>
    <t>Certification Bureautique</t>
  </si>
  <si>
    <t>ENI Editions</t>
  </si>
  <si>
    <t>Certification C2I (informatique et Internet)</t>
  </si>
  <si>
    <t>Certification Communication Digitale</t>
  </si>
  <si>
    <t>Certification en affaires règlementaires dans l'industrie pharmaceutique</t>
  </si>
  <si>
    <t>Certification en infographie audiovisuelle</t>
  </si>
  <si>
    <t>Institut national de formation et d'application - INFA PACA</t>
  </si>
  <si>
    <t>Certification IBM certified administrator - Cognos BI</t>
  </si>
  <si>
    <t>Certification IBM certified administrator - Cognos TM1</t>
  </si>
  <si>
    <t>Certification IBM Certified Administrator - Tivoli Storage Manager</t>
  </si>
  <si>
    <t>Certification IBM Certified Associate - Endpoint Manager</t>
  </si>
  <si>
    <t>Certification IBM Certified Database Administrator - DB2 DBA for z/OS</t>
  </si>
  <si>
    <t>Certification IBM Certified Database Associate - DB2 Fundamentals</t>
  </si>
  <si>
    <t>Certification IBM Certified Specialist - SPSS Modeler Professional</t>
  </si>
  <si>
    <t>Certification IBM Certified System Administrator - AIX</t>
  </si>
  <si>
    <t>Certification IBM Certified System Administrator - WebSphere Application Server Network Deployment and Liberty Profile</t>
  </si>
  <si>
    <t>Certification IBM Certified System Administrator - Websphere MQ</t>
  </si>
  <si>
    <t>Certification IT - Administration d'un système Linux</t>
  </si>
  <si>
    <t>Certification IT - Administration d'une base de données</t>
  </si>
  <si>
    <t>Certification IT - Automatisation des tâches d'administration système à l'aide de scripts</t>
  </si>
  <si>
    <t>Certification IT - Développement de sites web avec le langage de balises HTML et des feuilles de styles CSS</t>
  </si>
  <si>
    <t>Certification IT - Développement de sites web dynamiques</t>
  </si>
  <si>
    <t>Certification IT - Exploitation d'une base de données avec le langage SQL</t>
  </si>
  <si>
    <t>Certification Microsoft - Administering a SQL Database Infrastructure (70-764)</t>
  </si>
  <si>
    <t>Microsoft</t>
  </si>
  <si>
    <t>Certification Microsoft - Administering Microsoft System Center Configuration Manager and Cloud Services Integration (70-703)</t>
  </si>
  <si>
    <t>Certification Microsoft - Administration de Windows Server 2012 (70-411)</t>
  </si>
  <si>
    <t>Certification Microsoft - Analyzing Big Data with Microsoft R (70-773)</t>
  </si>
  <si>
    <t>Certification Microsoft - Conception et mise en oeuvre des solutions Big Data Analytics (70-475)</t>
  </si>
  <si>
    <t>Certification Microsoft - Conception et mise en oeuvre des solutions Cloud Data Platform (70-473)</t>
  </si>
  <si>
    <t>Certification Microsoft - configuration de périphériques Windows (70-697)</t>
  </si>
  <si>
    <t>Certification Microsoft - Core Solutions of Microsoft Skype for Business 2015 (70-334)</t>
  </si>
  <si>
    <t>Certification Microsoft - Déploiement de périphériques Windows et d'applications d'entreprise (70-695)</t>
  </si>
  <si>
    <t>Certification Microsoft - Déployer et gérer Microsoft Exchange Server 2016 (70-345)</t>
  </si>
  <si>
    <t>Certification Microsoft - Deploying Enterprise Voice with Skype for Business 2015 (70-333)</t>
  </si>
  <si>
    <t>Certification Microsoft - Developing SQL Data Models (70-768)</t>
  </si>
  <si>
    <t>Certification Microsoft - Developing SQL Databases (70-762)</t>
  </si>
  <si>
    <t>Certification Microsoft - Enabling Office 365 Services (examen 70-347)</t>
  </si>
  <si>
    <t>Certification Microsoft - Identité avec Windows Server 2016 (70-742)</t>
  </si>
  <si>
    <t>Certification Microsoft - Implementing a Data Warehouse using SQL (70-767)</t>
  </si>
  <si>
    <t>Certification Microsoft - Implementing a Software-Defined Datacenter (70-745)</t>
  </si>
  <si>
    <t>Certification Microsoft - Installation et Configuration Windows 10 en développement (70-698)</t>
  </si>
  <si>
    <t>Certification Microsoft - Installation, stockage et calcul avec Windows Server 2016 (70-740)</t>
  </si>
  <si>
    <t>Certification Microsoft - Mise à niveau de vos compétences MCSA : Windows serveur 2016 (70-743)</t>
  </si>
  <si>
    <t>Certification Microsoft - Mise en réseau avec Windows Server 2016 (70-741)</t>
  </si>
  <si>
    <t>Certification Microsoft - Perform Data Engineering on Microsoft Azure HDInsight (70-775)</t>
  </si>
  <si>
    <t>Certification Microsoft - Planification et Gestion des périphériques dans l'entreprise (70-398)</t>
  </si>
  <si>
    <t>Certification Microsoft - Plateforme Windows Universel : AppData, Services et schémas de codage (70-355)</t>
  </si>
  <si>
    <t>Certification Microsoft - Provisioning SQL Databases (70-765)</t>
  </si>
  <si>
    <t>Certification Microsoft - Querying Data with Transact-SQL (70-761)</t>
  </si>
  <si>
    <t>Certification Microsoft - Securing Windows Server 2016 (70-744)</t>
  </si>
  <si>
    <t>Certification Microsoft - Solutions de base de Microsoft Exchange serveur 2013 (examen 70-341)</t>
  </si>
  <si>
    <t>Certification Microsoft - Solutions fondamentales de Microsoft SharePoint Server 2013 (examen 70-331)</t>
  </si>
  <si>
    <t>Certification Microsoft administering and deploying System Center 2012 configuration manager</t>
  </si>
  <si>
    <t>Certification Microsoft administration de Visual Studio Team Foundation Server</t>
  </si>
  <si>
    <t>Certification Microsoft administration d'une base de données SQL Server 2012/2014</t>
  </si>
  <si>
    <t>Certification Microsoft architecting Microsoft Azure Solutions (70-535)</t>
  </si>
  <si>
    <t>Certification Microsoft conception de solutions de business intelligence avec Microsoft SQL Server</t>
  </si>
  <si>
    <t>Certification Microsoft conception et implémentation d'une infrastructure de serveur (examen 70-413)</t>
  </si>
  <si>
    <t>Certification Microsoft concevoir des solutions de base de données pour Microsoft SQL Server</t>
  </si>
  <si>
    <t>Certification Microsoft configuration avancée des services Windows Server 2012 (70-412)</t>
  </si>
  <si>
    <t>Certification Microsoft configuration de Windows 8.1</t>
  </si>
  <si>
    <t>Certification Microsoft configuration et déploiement d'un cloud privé avec System Center 2012</t>
  </si>
  <si>
    <t>Certification Microsoft création de valeur continue avec Visual Studio application Lifecycle Management</t>
  </si>
  <si>
    <t>Certification Microsoft developing Microsoft Azure Solutions (70-532)</t>
  </si>
  <si>
    <t>Certification Microsoft développement d'applications avancées Windows Store en utilisant C#</t>
  </si>
  <si>
    <t>Certification Microsoft développement d'applications avancées Windows Store en utilisant HTML5 et JavaScript</t>
  </si>
  <si>
    <t>Certification Microsoft développement d'applications Web ASP.NET MVC (70-486)</t>
  </si>
  <si>
    <t>Certification Microsoft développement de bases de données Microsoft SQL Server</t>
  </si>
  <si>
    <t>Certification Microsoft développement de solutions avancées Microsoft SharePoint Server 2013</t>
  </si>
  <si>
    <t>Certification Microsoft développement de solutions Microsoft SharePoint Server 2013</t>
  </si>
  <si>
    <t>Certification Microsoft développement Microsoft Azure et services web (70-487)</t>
  </si>
  <si>
    <t>Certification Microsoft enterprise voice and online services with Microsoft Lync Server 2013</t>
  </si>
  <si>
    <t>Certification Microsoft gestions des identités et services Office 365 (examen 70-346)</t>
  </si>
  <si>
    <t>Certification Microsoft implémentation d'une infrastructure de bureau</t>
  </si>
  <si>
    <t>Certification Microsoft implementing Microsoft Azure infrastructure Solutions (70-533)</t>
  </si>
  <si>
    <t>Certification Microsoft installation et configuration de Windows Server 2012 (70-410)</t>
  </si>
  <si>
    <t>Certification Microsoft mise en oeuvre de modèles de données et de rapports avec Microsoft SQL Server</t>
  </si>
  <si>
    <t>Certification Microsoft mise en oeuvre d'environnements d'application bureautique</t>
  </si>
  <si>
    <t>Certification Microsoft mise en oeuvre d'un entrepôt de données avec Microsoft SQL Server 2012/2014</t>
  </si>
  <si>
    <t>Certification Microsoft mise en oeuvre d'une infrastructure de serveurs avancée (examen 70-414)</t>
  </si>
  <si>
    <t>Certification Microsoft principes fondamentaux de développement d'applications Windows Store en utilisant C#</t>
  </si>
  <si>
    <t>Certification Microsoft principes fondamentaux de développement d'applications Windows Store en utilisant HTML5 et JavaScript</t>
  </si>
  <si>
    <t>Certification Microsoft programmation en C# (70-483)</t>
  </si>
  <si>
    <t>Certification Microsoft programmation en HTML5 avec JavaScript et CSS3 (70-480)</t>
  </si>
  <si>
    <t>Certification Microsoft requête SQL Server 2012/2014</t>
  </si>
  <si>
    <t>Certification Microsoft server virtualization with Windows Server Hyper-V and System Center</t>
  </si>
  <si>
    <t>Certification Microsoft solutions avancées de Microsoft Exchange Server 2013</t>
  </si>
  <si>
    <t>Certification Microsoft solutions avancées de Microsoft SharePoint Server 2013</t>
  </si>
  <si>
    <t>Certification Microsoft solutions fondamentales de Lync Server 2013</t>
  </si>
  <si>
    <t>Certification Microsoft suivi et exploitation d'un cloud privé avec System Center 2012</t>
  </si>
  <si>
    <t>Certification Microsoft support de Windows 8.1</t>
  </si>
  <si>
    <t>Certification Microsoft tests logiciels avec Visual Studio</t>
  </si>
  <si>
    <t>Certification Microsoft upgrading your skills to MCSA Windows Server 2012</t>
  </si>
  <si>
    <t>Certification officielle éditeur SAS® Base Advanced Programmer for SAS® 9</t>
  </si>
  <si>
    <t>SAS Institute</t>
  </si>
  <si>
    <t>Certification officielle éditeur SAS® Certified Base Programmer for SAS® 9</t>
  </si>
  <si>
    <t>Certification officielle éditeur SAS® Predictive Modeler Using SAS Enterprise Miner 13</t>
  </si>
  <si>
    <t>Certification PECB - Analyse forensique</t>
  </si>
  <si>
    <t>Certification PECB - Audit de la sécurité des applications</t>
  </si>
  <si>
    <t>Certification PECB - Audit du système de management de la sécurité de l'information</t>
  </si>
  <si>
    <t>Certification PECB - Conception et mise en oeuvre des tests d'intrusion</t>
  </si>
  <si>
    <t>Certification PECB - Fondamentaux de la sécurité des applications</t>
  </si>
  <si>
    <t>Certification PECB - Fondamentaux du management de la sécurité de l'information</t>
  </si>
  <si>
    <t>Certification PECB - Mise en oeuvre de la sécurité des applications</t>
  </si>
  <si>
    <t>Certification PECB - Mise en oeuvre du système de management de la sécurité de l'information</t>
  </si>
  <si>
    <t>Certification PECB - Protection des données personnelles</t>
  </si>
  <si>
    <t>Certification PECB - Sécurité de l'information</t>
  </si>
  <si>
    <t>Certification PLMA - Administrer la plateforme DocDokuPLM</t>
  </si>
  <si>
    <t>DocDoku</t>
  </si>
  <si>
    <t>Certification PLMU - Utiliser la plateforme DocDokuPLM</t>
  </si>
  <si>
    <t>Certification Pro Ableton Live</t>
  </si>
  <si>
    <t>Groupement d'intérêt économique (GIE) - Certification Audionumérique</t>
  </si>
  <si>
    <t>Certification Red Hat Linux - RHCE</t>
  </si>
  <si>
    <t>Red Hat France</t>
  </si>
  <si>
    <t>Certification Red Hat Linux - RHCSA</t>
  </si>
  <si>
    <t>Certification RU Digital - Compétences et aptitudes digitales</t>
  </si>
  <si>
    <t>SBT Scientific Brain Training</t>
  </si>
  <si>
    <t>Certification THETRAWIN, maîtrise de la solution logicielle de gestion immobilière - Métier de la gérance</t>
  </si>
  <si>
    <t>SEIITRA réseau</t>
  </si>
  <si>
    <t>Certification THETRAWIN, maîtrise de la solution logicielle de gestion immobilière - Métier de syndic</t>
  </si>
  <si>
    <t>Certification UX-PM</t>
  </si>
  <si>
    <t>UXalliance</t>
  </si>
  <si>
    <t>Certification VMware VCP-DCV - VMware Certified Professional DataCenter Virtualisation</t>
  </si>
  <si>
    <t>VMware</t>
  </si>
  <si>
    <t>Certification VMware VCP-DT - VMware Certified Professional DeskTop</t>
  </si>
  <si>
    <t>Certification WebForce3 - techniques de développement Web</t>
  </si>
  <si>
    <t>WebForce3</t>
  </si>
  <si>
    <t>Certification WebForce3 - techniques d'intégration Web</t>
  </si>
  <si>
    <t>CFTL ISTQB Testeur certifié niveau fondation</t>
  </si>
  <si>
    <t>Global Association for Software Quality</t>
  </si>
  <si>
    <t>Chef de Projet Cloud Computing</t>
  </si>
  <si>
    <t>CPNE des bureaux d'études techniques, cabinets d'ingénieurs conseils et sociétés de conseils, Institut supérieur d'électronique de Paris (ISEP)</t>
  </si>
  <si>
    <t>Coder et déployer une application web simple</t>
  </si>
  <si>
    <t>Community management</t>
  </si>
  <si>
    <t>Zig Zag Marketing</t>
  </si>
  <si>
    <t>Concepteur de Solution Cloud Computing</t>
  </si>
  <si>
    <t>Conception et pilotage d'un projet web éditorial</t>
  </si>
  <si>
    <t>Concevoir et modéliser des applications informatiques</t>
  </si>
  <si>
    <t>Concevoir et piloter une stratégie de communication</t>
  </si>
  <si>
    <t>Centre de formation et de perfectionnement des journalistes</t>
  </si>
  <si>
    <t>Concevoir et piloter une stratégie de communication de marque</t>
  </si>
  <si>
    <t>Concevoir et piloter une stratégie social media</t>
  </si>
  <si>
    <t>Conduire un projet de sciences de données</t>
  </si>
  <si>
    <t>Conduire un projet informatique</t>
  </si>
  <si>
    <t>Centre de formation innovation en systèmes d'information</t>
  </si>
  <si>
    <t>Conduite de projet modélisation</t>
  </si>
  <si>
    <t>Création de site web et ecommerce - Bases techniques (CP FFP )</t>
  </si>
  <si>
    <t>Créer et gérer un projet web</t>
  </si>
  <si>
    <t>Créer et gérer une communauté sur le web</t>
  </si>
  <si>
    <t>Créer son site internet avec WordPress</t>
  </si>
  <si>
    <t>Créer, utiliser et référencer un site WordPress e-commerce avec Woocommerce</t>
  </si>
  <si>
    <t>WPFormation</t>
  </si>
  <si>
    <t>Cybersécurité</t>
  </si>
  <si>
    <t>EUROSAE</t>
  </si>
  <si>
    <t>DATA - Développer une base de données</t>
  </si>
  <si>
    <t>DATA - Exploiter une base de données</t>
  </si>
  <si>
    <t>Data Science : analyse et gestion de grandes masses de données</t>
  </si>
  <si>
    <t>Data science : Savoir collecter, décrypter, analyser et prédire à partir de mégadonnées</t>
  </si>
  <si>
    <t>Groupe des Écoles Nationales d'Économie et Statistique (Genes), Ensae Ensai formation continue (Cepe)</t>
  </si>
  <si>
    <t>Décoration événementielle Organisateur d'événements</t>
  </si>
  <si>
    <t>Open Formation</t>
  </si>
  <si>
    <t>Des screencast avec Camtasia Windows (niveau 1)</t>
  </si>
  <si>
    <t>Développement de site web et d'application mobile</t>
  </si>
  <si>
    <t>Le Réacteur</t>
  </si>
  <si>
    <t>Développement Microsoft.net</t>
  </si>
  <si>
    <t>Développement mobile</t>
  </si>
  <si>
    <t>Développement Orienté Objet : Java-J2EE</t>
  </si>
  <si>
    <t>Développement PHP</t>
  </si>
  <si>
    <t>3W academy</t>
  </si>
  <si>
    <t>Développement Web : PHP, Symfony, AngularJS, Node.JS</t>
  </si>
  <si>
    <t>Développer des applications PHP</t>
  </si>
  <si>
    <t>AgoraTIC</t>
  </si>
  <si>
    <t>Développer des applications PHP avancées</t>
  </si>
  <si>
    <t>Développer en mode agile</t>
  </si>
  <si>
    <t>Développer son activité avec le Webmarketing</t>
  </si>
  <si>
    <t>Webmarketing &amp; co'm</t>
  </si>
  <si>
    <t>Doigts-d-or : technique de dactylographie sur ordinateur</t>
  </si>
  <si>
    <t>JVT Consulting</t>
  </si>
  <si>
    <t>Drupal 7 Développeur : développement de modules (fonctionnalités) customs en utilisant les APIs de la version 7 du CMS Drupal</t>
  </si>
  <si>
    <t>Trained People</t>
  </si>
  <si>
    <t>Drupal 7 Expert : gestion de la performance, sécurité, déploiement avec la version 7 du CMS Drupal</t>
  </si>
  <si>
    <t>Drupal 7 Themer/Intégrateur : intégration de chartes graphiques sous forme de thème avec la version 7 du CMS Drupal</t>
  </si>
  <si>
    <t>Drupal 7 Webmaster : construction de site web avec la version 7 du CMS Drupal</t>
  </si>
  <si>
    <t>Drupal 8 Développeur : développement de modules (fonctionnalités) customs en utilisant les APIs de la version 8 du CMS Drupal</t>
  </si>
  <si>
    <t>Drupal 8 Expert : gestion de la performance, sécurité, déploiement avec la version 8 du CMS Drupal</t>
  </si>
  <si>
    <t>Drupal 8 Intégrateur : intégration de chartes graphiques sous forme de thème avec la version 8 du CMS Drupal</t>
  </si>
  <si>
    <t>Drupal 8 Webmaster : construction de site web avec la version 8 du CMS Drupal</t>
  </si>
  <si>
    <t>DU délégué à la protection des données (DPO)</t>
  </si>
  <si>
    <t>E_BW4HANA - SAP Certified Application Specialist - SAP BW/4HANA</t>
  </si>
  <si>
    <t>E_HANAAW - SAP Certified Development Specialist - ABAP for SAP HANA</t>
  </si>
  <si>
    <t>E_HANABW - SAP Certified Application Associate - SAP BW on SAP HANA</t>
  </si>
  <si>
    <t>EBIOS risk manager</t>
  </si>
  <si>
    <t>HSC, ORSYS</t>
  </si>
  <si>
    <t>Edgecam : CFAO 2 à 5 AXES</t>
  </si>
  <si>
    <t>VERO FRANCE (Groupe VERO Software)</t>
  </si>
  <si>
    <t>Ergonomie des interfaces, UX/UI Design</t>
  </si>
  <si>
    <t>USABILIS</t>
  </si>
  <si>
    <t>ERP Divalto izy-infinity : Domaine fonctionnel "Atelier de Génie Logiciel"</t>
  </si>
  <si>
    <t>Divalto</t>
  </si>
  <si>
    <t>ERP Divalto izy-infinity : Domaine fonctionnel "CRM" (relation tiers)</t>
  </si>
  <si>
    <t>ERP Divalto izy-infinity : Domaine fonctionnel "Finances"</t>
  </si>
  <si>
    <t>ERP Divalto izy-infinity : Domaine fonctionnel "Gestion commerciale et logistique"</t>
  </si>
  <si>
    <t>ERP Divalto izy-infinity : Domaine fonctionnel "Paie"</t>
  </si>
  <si>
    <t>ERP Divalto izy-infinity : Domaine fonctionnel "Production"</t>
  </si>
  <si>
    <t>ERP Divalto izy-infinity : Gestion du cycle de vie et des évolutions</t>
  </si>
  <si>
    <t>Expertise Blockchain</t>
  </si>
  <si>
    <t>Expertises Big Data</t>
  </si>
  <si>
    <t>Exploitant en mode agile (Dev Ops)</t>
  </si>
  <si>
    <t>Exploiter des infrastructures IT audiovisuelles</t>
  </si>
  <si>
    <t>Exploiter et superviser des réseaux IT/Broadcast</t>
  </si>
  <si>
    <t>Exploration des données</t>
  </si>
  <si>
    <t>Final Cut Pro Certificat officiel Apple</t>
  </si>
  <si>
    <t>CPNE de l'audiovisuel</t>
  </si>
  <si>
    <t>Fondamentaux de la cyber sécurité</t>
  </si>
  <si>
    <t>Fondamentaux de la Programmation</t>
  </si>
  <si>
    <t>Formation continue à la gestion technique et administrative d'un établissement chargé d'organiser les stages de sensibilisation à la sécurité routière</t>
  </si>
  <si>
    <t>Institut National de Sécurité Routière et de Recherches</t>
  </si>
  <si>
    <t>Formation initiale à la gestion technique et administrative d'un établissement chargé d'organiser les stages de sensibilisation à la sécurité routière</t>
  </si>
  <si>
    <t>Gérer et archiver des fichiers audiovisuels en postproduction</t>
  </si>
  <si>
    <t>Gérer la mise en conformité de la protection des données à caractère personnel</t>
  </si>
  <si>
    <t>AJC Formation</t>
  </si>
  <si>
    <t>Gestion de projet et Méthodologie de travail</t>
  </si>
  <si>
    <t>Gestion des données de référence</t>
  </si>
  <si>
    <t>GIAC certified Penetration Tester (GPEN) - Certification aux tests d'intrusion</t>
  </si>
  <si>
    <t>GIAC (Global Information Assurance Certification)</t>
  </si>
  <si>
    <t>Gouvernance, protection et exploitation des données de santé (DU)</t>
  </si>
  <si>
    <t>Graphisme multimédia - Fondamentaux et bases techniques (CP FFP)</t>
  </si>
  <si>
    <t>Habilitation IBM Certified Support Associate - Cloud &amp; Smarter Infrastructure Support Provider Tools and Processes</t>
  </si>
  <si>
    <t>Homologuer des applications informatiques</t>
  </si>
  <si>
    <t>IBM Certfied Tivoli Netcool/OMNIbus</t>
  </si>
  <si>
    <t>IBM Certified Administrator - PureData System for Transactions</t>
  </si>
  <si>
    <t>IBM Certified Administrator - Security Guardium</t>
  </si>
  <si>
    <t>IBM Certified Administrator - Sterling Connect Direct</t>
  </si>
  <si>
    <t>IBM Certified Advanced Application Developer - Notes and Domino</t>
  </si>
  <si>
    <t>IBM Certified Advanced Database Administrator - for Linux, UNIX and Windows</t>
  </si>
  <si>
    <t>IBM Certified Application Developer - CICS Transaction Server</t>
  </si>
  <si>
    <t>IBM Certified Application Developer - Cúram</t>
  </si>
  <si>
    <t>IBM Certified Application Developer - DB2 for z/OS</t>
  </si>
  <si>
    <t>IBM Certified Application Developer - Operational Decision Manager Advanced</t>
  </si>
  <si>
    <t>IBM Certified Associate - MobileFirst Protect</t>
  </si>
  <si>
    <t>IBM Certified Associate - Security QRadar</t>
  </si>
  <si>
    <t>IBM Certified Associate - Security Trusteer Apex Advanced Malware Protection Fundamentals</t>
  </si>
  <si>
    <t>IBM Certified Associate - Security Trusteer Fraud Protection</t>
  </si>
  <si>
    <t>IBM Certified Associate - SPSS Modeler Data Analysis</t>
  </si>
  <si>
    <t>IBM Certified Associate - SPSS Modeler Data Mining</t>
  </si>
  <si>
    <t>IBM Certified Associate Administrator - Security Guardium Data Protection</t>
  </si>
  <si>
    <t>IBM Certified Associate Business Process Analyst - Cúram</t>
  </si>
  <si>
    <t>IBM Certified Associate System Administrator - AIX</t>
  </si>
  <si>
    <t>IBM Certified Associate System Administrator - IBM i 7</t>
  </si>
  <si>
    <t>IBM Certified BPM Analyst - Blueworks Live</t>
  </si>
  <si>
    <t>IBM Certified BPM System Administration - Business Process Manager Advanced</t>
  </si>
  <si>
    <t>IBM Certified Deployment Professional - Datacap</t>
  </si>
  <si>
    <t>IBM Certified Deployment Professional - FileNet P8</t>
  </si>
  <si>
    <t>CPNE des bureaux d'études techniques, cabinets d'ingénieurs conseils et sociétés de conseils, IBM</t>
  </si>
  <si>
    <t>IBM Certified Deployment Professional - Security Directory Server</t>
  </si>
  <si>
    <t>IBM Certified Deployment Professional - Security Identity Manager</t>
  </si>
  <si>
    <t>IBM Certified Deployment Professional - Security Systems SiteProtector</t>
  </si>
  <si>
    <t>IBM Certified Deployment Professional - Spectrum Protect</t>
  </si>
  <si>
    <t>IBM Certified Deployment Professional - Sterling Configurator</t>
  </si>
  <si>
    <t>IBM Certified Deployment Professional - Sterling Order Management</t>
  </si>
  <si>
    <t>IBM Certified Deployment Professional - Tivoli Directory Integrator</t>
  </si>
  <si>
    <t>IBM Certified Deployment Professional - Tivoli Storage Manager</t>
  </si>
  <si>
    <t>IBM Certified Designer - Cognos BI Multidimensional Reports</t>
  </si>
  <si>
    <t>IBM Certified Developer - API Management</t>
  </si>
  <si>
    <t>IBM Certified Developer - Cognos BI OLAP Models</t>
  </si>
  <si>
    <t>IBM Certified Developer - Cognos TM1</t>
  </si>
  <si>
    <t>IBM Certified Implementation Professional - Tealeaf Customer Experience Management</t>
  </si>
  <si>
    <t>IBM certified integration developer - business process manager advanced</t>
  </si>
  <si>
    <t>IBM Certified Integration Professional - MobileFirst Protect Cloud Extender and Enterprise Gateway</t>
  </si>
  <si>
    <t>IBM Certified Mobile Application Developer - Worklight Foundation</t>
  </si>
  <si>
    <t>IBM Certified Mobile System Administrator - Worklight Foundation</t>
  </si>
  <si>
    <t>IBM Certified Solution Advisor - Big Data &amp; Analytics</t>
  </si>
  <si>
    <t>IBM Certified Solution Advisor - Cloud Computing Architecture</t>
  </si>
  <si>
    <t>IBM Certified Solution Advisor - Maximo Asset Management Solutions</t>
  </si>
  <si>
    <t>IBM Certified Solution Advisor - SoftLayer</t>
  </si>
  <si>
    <t>IBM Certified Solution Architect - SoftLayer</t>
  </si>
  <si>
    <t>IBM Certified Solution Designer - Case Manager</t>
  </si>
  <si>
    <t>IBM Certified Solution Designer - Content Manager</t>
  </si>
  <si>
    <t>IBM Certified Solution Designer - Content Navigator</t>
  </si>
  <si>
    <t>IBM Certified Solution Designer - Sterling Order Management</t>
  </si>
  <si>
    <t>IBM Certified Solution Developer - InfoSphere DataStage</t>
  </si>
  <si>
    <t>IBM Certified Solution Developer - InfoSphere QualityStage</t>
  </si>
  <si>
    <t>IBM Certified Solution Developer - Web Content Manager</t>
  </si>
  <si>
    <t>IBM Certified Solution Developer - WebSphere Message Broker</t>
  </si>
  <si>
    <t>IBM Certified Solution Implementer - Sterling B2B Integrator</t>
  </si>
  <si>
    <t>IBM Certified Specialist - Case Manager</t>
  </si>
  <si>
    <t>IBM Certified Specialist - Filenet Content Manager</t>
  </si>
  <si>
    <t>IBM Certified Specialist - Security AppScan</t>
  </si>
  <si>
    <t>IBM Certified Specialist - z Systems Technical Support</t>
  </si>
  <si>
    <t>IBM Certified Specialist System Z Technical</t>
  </si>
  <si>
    <t>IBM Certified Specialist Systems Storage DS8000 Technical Solutions</t>
  </si>
  <si>
    <t>IBM Certified System Administrator - MQ</t>
  </si>
  <si>
    <t>IBM Certified System Administrator - Notes and Domino</t>
  </si>
  <si>
    <t>IBM Certified System Administrator - WebSphere Message Broker</t>
  </si>
  <si>
    <t>IBM Certified System Administrator - WebSphere Portal</t>
  </si>
  <si>
    <t>IBM Certified Systems Expert - Virtualization Technical Support for AIX and Linux</t>
  </si>
  <si>
    <t>Implémenter la cybersécurité en entreprise</t>
  </si>
  <si>
    <t>Implémenter un progiciel de gestion intégré</t>
  </si>
  <si>
    <t>Indexation 360°</t>
  </si>
  <si>
    <t>Infographiste 3D « setup/rigging »</t>
  </si>
  <si>
    <t>Gobelins - Ecole de l'image</t>
  </si>
  <si>
    <t>Infrastructure DevOps</t>
  </si>
  <si>
    <t>Intégration cybersécurité</t>
  </si>
  <si>
    <t>Intégration Web - CMS</t>
  </si>
  <si>
    <t>Intégrer le digital dans sa stratégie de communication et marketing (CP FFP)</t>
  </si>
  <si>
    <t>Media institute</t>
  </si>
  <si>
    <t>Introduction à Qt QML</t>
  </si>
  <si>
    <t>KDAB France</t>
  </si>
  <si>
    <t>ISILOG WEB SYSTEM - IWS Niveau 1</t>
  </si>
  <si>
    <t>ISILOG</t>
  </si>
  <si>
    <t>ISO 27001 Lead Auditor</t>
  </si>
  <si>
    <t>ISO 27001 Lead Implementer</t>
  </si>
  <si>
    <t>ISO 27005 Risk Manager</t>
  </si>
  <si>
    <t>ITIL® Foundation Certificate in IT Service Management</t>
  </si>
  <si>
    <t>La gestion de code avec Git et GitHub (niveau 1)</t>
  </si>
  <si>
    <t>La programmation avec C (niveau 1)</t>
  </si>
  <si>
    <t>La programmation avec Java (niveau 1)</t>
  </si>
  <si>
    <t>La programmation avec Python (niveau 1)</t>
  </si>
  <si>
    <t>La programmation C++ (niveau 1)</t>
  </si>
  <si>
    <t>La programmation en orienté objet en PHP (niveau 2)</t>
  </si>
  <si>
    <t>Langages de Programmation</t>
  </si>
  <si>
    <t>L'architecture PHP professionnelle (niveau 2)</t>
  </si>
  <si>
    <t>Le développement avec Java EE (niveau 1)</t>
  </si>
  <si>
    <t>Le développement avec le framework Django (niveau 1)</t>
  </si>
  <si>
    <t>Le développement avec le framework Symfony 2 (niveau 2)</t>
  </si>
  <si>
    <t>Le développement avec PHP et MySQL (niveau 1)</t>
  </si>
  <si>
    <t>Le développement dans le cloud avec Google App Engine (niveau 2)</t>
  </si>
  <si>
    <t>Le développement dans le cloud avec IBM Bluemix (niveau 2)</t>
  </si>
  <si>
    <t>Le développement d'application avec Node.js (niveau 2)</t>
  </si>
  <si>
    <t>Le plateau de situation : être efficace devant la caméra</t>
  </si>
  <si>
    <t>Le référencement web (niveau 1)</t>
  </si>
  <si>
    <t>Le réseau professionnel Linkedin</t>
  </si>
  <si>
    <t>Ecole française du digital</t>
  </si>
  <si>
    <t>Le système d'exploitation OS X (niveau 1)</t>
  </si>
  <si>
    <t>Les bases de ASP.net MVC (niveau 1)</t>
  </si>
  <si>
    <t>Les bases de Bootstrap (niveau 1)</t>
  </si>
  <si>
    <t>Les bases de Linux (niveau 1)</t>
  </si>
  <si>
    <t>Les bases des réseaux TCP/IP (niveau 1)</t>
  </si>
  <si>
    <t>Les bases d'HTML5 et CSS3 (niveau 1)</t>
  </si>
  <si>
    <t>Les bases du community management (niveau 1)</t>
  </si>
  <si>
    <t>Les bases du framework PHP Laravel (niveau 1)</t>
  </si>
  <si>
    <t>Les campagnes d'emailing avec MailChimp (niveau 1)</t>
  </si>
  <si>
    <t>Les données avec MySQL (niveau 2)</t>
  </si>
  <si>
    <t>Les données avec XML (niveau 1)</t>
  </si>
  <si>
    <t>Les fondamentaux de la communication écrite</t>
  </si>
  <si>
    <t>Sténotype Grandjean</t>
  </si>
  <si>
    <t>Les nouveautés du C++11 / C++14 / C++17</t>
  </si>
  <si>
    <t>Maîtrise de la dactylographie</t>
  </si>
  <si>
    <t>Maîtrise de la qualité en projet Web</t>
  </si>
  <si>
    <t>Opquast</t>
  </si>
  <si>
    <t>Maîtrise des techniques de modélisation, rendu et animation 3D</t>
  </si>
  <si>
    <t>Marketing et communication digitale</t>
  </si>
  <si>
    <t>Max niveau 1</t>
  </si>
  <si>
    <t>Institut de recherche et coordination acoustique musique</t>
  </si>
  <si>
    <t>Méthodes agiles de gestion et amorçage de projet</t>
  </si>
  <si>
    <t>Microsoft Access (certification officielle éditeur)</t>
  </si>
  <si>
    <t>Microsoft Excel (certification officielle éditeur)</t>
  </si>
  <si>
    <t>Microsoft Office Specialist (MOS)</t>
  </si>
  <si>
    <t>Microsoft OneNote (certification officielle éditeur)</t>
  </si>
  <si>
    <t>Microsoft Outlook (certification officielle éditeur)</t>
  </si>
  <si>
    <t>Microsoft PowerPoint (certification officielle éditeur)</t>
  </si>
  <si>
    <t>Microsoft SharePoint (certification officielle éditeur)</t>
  </si>
  <si>
    <t>Microsoft Technology Associate (MTA)</t>
  </si>
  <si>
    <t>Microsoft Word (certification officielle éditeur)</t>
  </si>
  <si>
    <t>Modéliser en 3D avec SketchUp</t>
  </si>
  <si>
    <t>Adebeo</t>
  </si>
  <si>
    <t>Montage audiovisuel sur Adobe Première</t>
  </si>
  <si>
    <t>Montage audiovisuel sur Final Cut Pro X</t>
  </si>
  <si>
    <t>Montage et effets spéciaux avec Adobe Première et After Effects</t>
  </si>
  <si>
    <t>Montage et effets spéciaux avec Final Cut Pro X et After Effects</t>
  </si>
  <si>
    <t>NetApp Certified Data Administrator (NCDA)</t>
  </si>
  <si>
    <t>NetApp</t>
  </si>
  <si>
    <t>Oracle Certified Associate, Java SE 8 Programmer</t>
  </si>
  <si>
    <t>Oracle</t>
  </si>
  <si>
    <t>Oracle Certified Associate, Oracle WebLogic Server 12c Administrator</t>
  </si>
  <si>
    <t>Oracle Database 11g Administrator Certified Associate</t>
  </si>
  <si>
    <t>Oracle Database 12c Administrator Certified Associate</t>
  </si>
  <si>
    <t>Oracle Database 12c Administrator Certified Professional</t>
  </si>
  <si>
    <t>Oracle Database SQL Certified Associate</t>
  </si>
  <si>
    <t>P_PAII10 - SAP Certified Application Professional - Predictive Analytics</t>
  </si>
  <si>
    <t>P_S4FIN - SAP Certified Application Professional - Financials in SAP S/4HANA for SAP ERP Finance Experts</t>
  </si>
  <si>
    <t>PCIE - Passeport de compétences informatique européen</t>
  </si>
  <si>
    <t>Euro-Aptitudes</t>
  </si>
  <si>
    <t>Photoshop pour les maquettes de site responsive (niveau 1)</t>
  </si>
  <si>
    <t>Pilotage de la communication globale de l'entreprise</t>
  </si>
  <si>
    <t>Piloter une démarche de cybersécurité</t>
  </si>
  <si>
    <t>Piloter une équipe de développement agile (Scrum Master)</t>
  </si>
  <si>
    <t>Pix</t>
  </si>
  <si>
    <t>Pratique professionnelle de la recherche d'images</t>
  </si>
  <si>
    <t>Pratiques du développement logiciel de qualité</t>
  </si>
  <si>
    <t>OCTO Technology, OCTO Academy</t>
  </si>
  <si>
    <t>Principes de base de la sécurité Internet (niveau 1)</t>
  </si>
  <si>
    <t>Promouvoir l'activité d'une entreprise sur Internet</t>
  </si>
  <si>
    <t>RADAN CFAO</t>
  </si>
  <si>
    <t>Radan CFAO</t>
  </si>
  <si>
    <t>Réalisation de clip vidéo- bases techniques (CP FFP)</t>
  </si>
  <si>
    <t>Réaliser un site internet à partir de Wordpress</t>
  </si>
  <si>
    <t>Reportage audiovisuel pour JRI - Bases techniques</t>
  </si>
  <si>
    <t>Se développer par l'exploitation des données clients</t>
  </si>
  <si>
    <t>Sécurité Inforensic</t>
  </si>
  <si>
    <t>Sécurité Pentesting</t>
  </si>
  <si>
    <t>Social media management</t>
  </si>
  <si>
    <t>Socle numérique du secteur bancaire</t>
  </si>
  <si>
    <t>Stratégie digitale des contenus : marketing des médias et Brand Content</t>
  </si>
  <si>
    <t>Stratégie d'intégration de la blockchain</t>
  </si>
  <si>
    <t>Stratégie et pilotage des projets data</t>
  </si>
  <si>
    <t>MediaSchool executive education</t>
  </si>
  <si>
    <t>Systèmes Centraux - Infrastructure et développement</t>
  </si>
  <si>
    <t>Université Paris-Est Créteil Val de-Marne - Paris 12</t>
  </si>
  <si>
    <t>Systèmes de transport intelligents (STI) et mobilité dans les transports</t>
  </si>
  <si>
    <t>Techniques journalistiques plurimédia et management de projet numérique</t>
  </si>
  <si>
    <t>Edito&amp;Co</t>
  </si>
  <si>
    <t>Tenir un rôle de maître d'ouvrage agile (Product owner)</t>
  </si>
  <si>
    <t>TOSA</t>
  </si>
  <si>
    <t>Isograd</t>
  </si>
  <si>
    <t>TOSCA EXPERT : Méthodologie d'homologation des applications informatiques</t>
  </si>
  <si>
    <t>Groupe NORMASYS</t>
  </si>
  <si>
    <t>Tourner et monter une vidéo de qualité avec un smartphone - Niveau avancé</t>
  </si>
  <si>
    <t>T¿oeV Rheinland</t>
  </si>
  <si>
    <t>Tourner et monter une vidéo de qualité avec un smartphone - Niveau Initial</t>
  </si>
  <si>
    <t>Traitement des données</t>
  </si>
  <si>
    <t>U_WFREUA - SAP Certified Utilisateur Final - Achats avec SAP ERP</t>
  </si>
  <si>
    <t>U_WFREUC - SAP Certified Utilisateur Final - Comptabilité Client avec SAP ERP</t>
  </si>
  <si>
    <t>U_WFREUF - SAP Certified Utilisateur Final - Comptabilité Fournisseur avec SAP</t>
  </si>
  <si>
    <t>U_WFREUV - SAP Certified Utilisateur Final - Ventes avec SAP ERP</t>
  </si>
  <si>
    <t>Valorisation de contenus multimédias</t>
  </si>
  <si>
    <t>Vente sédentaire de logiciels</t>
  </si>
  <si>
    <t>Vente stratégique B to B</t>
  </si>
  <si>
    <t>Vidéo et montage - bases techniques (CP FFP)</t>
  </si>
  <si>
    <t>Vidéos d'entreprise - Fondamentaux et bases techniques</t>
  </si>
  <si>
    <t>VISI Machining : CFAO 2 à 5 AXES</t>
  </si>
  <si>
    <t>VISI Modelling : CAO 2D 3D</t>
  </si>
  <si>
    <t>Visualisation des données</t>
  </si>
  <si>
    <t>Webdesign - Fondamentaux et bases techniques (CP FFP)</t>
  </si>
  <si>
    <t>WordPress (niveau 2)</t>
  </si>
  <si>
    <t>Ingénierie formation pédagogie</t>
  </si>
  <si>
    <t>Accompagnement de parcours de reconnaissance des acquis de l'expérience</t>
  </si>
  <si>
    <t>Différent et Compétent Réseau</t>
  </si>
  <si>
    <t>Accompagnement des apprentissages et de la formation en situation de travail</t>
  </si>
  <si>
    <t>C-CAMPUS</t>
  </si>
  <si>
    <t>Accompagnement VAE (CP FFP)</t>
  </si>
  <si>
    <t>Actions perspectives &amp; compétences</t>
  </si>
  <si>
    <t>Accompagner et remédier aux difficultés d'apprentissage grâce aux ateliers de raisonnement logique (ARL)® et aux techniques d'aide à l'explicitation</t>
  </si>
  <si>
    <t>Le Patio Formation</t>
  </si>
  <si>
    <t>Accompagner les personnes dans leur orientation, leur insertion, leur évolution professionnelle avec la démarche éducative expérientielle ADVP</t>
  </si>
  <si>
    <t>Accompagner les personnes dans leur recherche d'emploi avec la démarche éducative expérientielle ADVP</t>
  </si>
  <si>
    <t>Accompagner les transitions professionnelles</t>
  </si>
  <si>
    <t>5A Conseil</t>
  </si>
  <si>
    <t>Animation de formation en agilité comportementale</t>
  </si>
  <si>
    <t>Animation d'une formation interne</t>
  </si>
  <si>
    <t>CPNE de la métallurgie, CPNE de l'industrie textile, CPNE de l'intersecteurs papiers-cartons, CPNE des industries de l'habillement, CPNE des industries de santé</t>
  </si>
  <si>
    <t>Certificat de compétence pédagogique</t>
  </si>
  <si>
    <t>Association de gestion des certificats de compétence pédagogique</t>
  </si>
  <si>
    <t>Certificat de compétences de formateur évaluateur interne des domaines skiables et des remontées mécaniques</t>
  </si>
  <si>
    <t>CPNE des remontées mécaniques et domaines skiables</t>
  </si>
  <si>
    <t>Certificat de Compétences en Entreprise (CCE) "Exercer la mission de formateur en entreprise"</t>
  </si>
  <si>
    <t>Certificat de Compétences en Entreprise (CCE) "Exercer le rôle de tuteur en entreprise"</t>
  </si>
  <si>
    <t>Certificat de Consultant-formateur en intelligence créative</t>
  </si>
  <si>
    <t>Iris</t>
  </si>
  <si>
    <t>Certificat de formateur en sauvetage secourisme du travail</t>
  </si>
  <si>
    <t>Certification à l'évaluation Kirkpatrick Four Levels® - Niveau bronze</t>
  </si>
  <si>
    <t>Kirkpatric­k Partners­, Formaeva</t>
  </si>
  <si>
    <t>Certification Bilan de Compétences (CP FFP)</t>
  </si>
  <si>
    <t>Certification de tuteur</t>
  </si>
  <si>
    <t>Conception et Animation de Formation (CP FFP)</t>
  </si>
  <si>
    <t>Conception et animation d'une formation mixte ou à distance (CP FFP)</t>
  </si>
  <si>
    <t>Conception et encadrement d'une action de formation</t>
  </si>
  <si>
    <t>Ministère de l'intérieur, Direction générale de la gendarmerie nationale (DGGN), Direction générale de la police nationale (DGPN)</t>
  </si>
  <si>
    <t>Conception et production de ressources de formation blended-learning</t>
  </si>
  <si>
    <t>Institut supérieur des technologies de la formation</t>
  </si>
  <si>
    <t>Concevoir, animer et évaluer une action de formation : former des adultes (FA)</t>
  </si>
  <si>
    <t>SIPCA</t>
  </si>
  <si>
    <t>Conseil en création d'entreprise</t>
  </si>
  <si>
    <t>Agence France Entrepreneur</t>
  </si>
  <si>
    <t>CP FFP formateur professionnel</t>
  </si>
  <si>
    <t>Création d'une formation interne</t>
  </si>
  <si>
    <t>Devenir formateur en initiation à la prévention des risques psychosociaux</t>
  </si>
  <si>
    <t>Ministère du travail, Institut national de recherche et de sécurité</t>
  </si>
  <si>
    <t>Devenir formateur en prévention des risques liés à l'amiante. Sous-section 3</t>
  </si>
  <si>
    <t>Digital Learning Management</t>
  </si>
  <si>
    <t>Entreprendre, gérer et développer une offre innovante en prestation de service intellectuel</t>
  </si>
  <si>
    <t>Delpicom</t>
  </si>
  <si>
    <t>Formateur de personne ressource TMS en entreprise</t>
  </si>
  <si>
    <t>Formation et pédagogie</t>
  </si>
  <si>
    <t>Gestion d'un projet de formation blended-learning</t>
  </si>
  <si>
    <t>Habilitation CELTA (Certificate in Teaching English to Speakers of Other Languages)</t>
  </si>
  <si>
    <t>University of Cambridge</t>
  </si>
  <si>
    <t>Handicap accès et maintien dans l'emploi</t>
  </si>
  <si>
    <t>Conseil national Handicap et Emploi des Organismes de Placement Spécialisés</t>
  </si>
  <si>
    <t>Maintenir et actualiser ses compétences de formateur en prévention des risques liés à l'amiante. Sous-section 3</t>
  </si>
  <si>
    <t>Maîtrise des techniques de conception et d'animation de formations pour adultes</t>
  </si>
  <si>
    <t>Management de la formation</t>
  </si>
  <si>
    <t>Pilote des Parcours d'Insertion / Méthode MAPPI</t>
  </si>
  <si>
    <t>B2c Projet</t>
  </si>
  <si>
    <t>Piloter la formation professionnelle en entreprise : le plan de formation et sa mise en oeuvre</t>
  </si>
  <si>
    <t>Tuteur : menez à bien vos missions de tutorat</t>
  </si>
  <si>
    <t>Tutorat en entreprise</t>
  </si>
  <si>
    <t>Langues</t>
  </si>
  <si>
    <t>Anglais technique simplifié pour l'aéronautique</t>
  </si>
  <si>
    <t>Bright Language</t>
  </si>
  <si>
    <t>B1 Euskara Agiria (B1EA) : Certificat de compétence en langue basque niveau B1</t>
  </si>
  <si>
    <t>Office Public de la Langue Basque, Université Pau et des Pays de L'Adour</t>
  </si>
  <si>
    <t>BLISS (Bright Language International Speaking Solution) Anglais, Allemand, Espagnol, Français, Italien</t>
  </si>
  <si>
    <t>BULATS - Linguaskill</t>
  </si>
  <si>
    <t>Business English Skills Test (BEST)</t>
  </si>
  <si>
    <t>Chambre de commerce franco-britannique</t>
  </si>
  <si>
    <t>Cambridge English Advanced (CAE) - C1</t>
  </si>
  <si>
    <t>Cambridge English Business Certificates - BEC Higher</t>
  </si>
  <si>
    <t>Cambridge English Business Certificates - BEC Preliminary</t>
  </si>
  <si>
    <t>Cambridge English Business Certificates - BEC Vantage</t>
  </si>
  <si>
    <t>Cambridge English First (FCE) - B2</t>
  </si>
  <si>
    <t>Cambridge English Proficiency (CPE) - C2</t>
  </si>
  <si>
    <t>CeLP - Certificate of Language Proficiency - (Certificat de niveau de compétences en langues) YES 'N' YOU</t>
  </si>
  <si>
    <t>T¿oeV Rheinland, Yes 'N' You</t>
  </si>
  <si>
    <t>Certificat de compétences en anglais - Certificate of Professional English Skills (CPES)</t>
  </si>
  <si>
    <t>Gofluent</t>
  </si>
  <si>
    <t>Certificat de Compétences en Langue des Signes Française - Langue Seconde - Niveau A1</t>
  </si>
  <si>
    <t>Visuel - Langue des Signes Française</t>
  </si>
  <si>
    <t>Certificat de Compétences en Langue des Signes Française - Langue Seconde - Niveau A2</t>
  </si>
  <si>
    <t>Certificat de Compétences en Langue des Signes Française - Langue Seconde - Niveau B1</t>
  </si>
  <si>
    <t>Certificat de Compétences en Langue des Signes Française - Langue Seconde - Niveau B2</t>
  </si>
  <si>
    <t>Certificat de Langue des Signes Française Appliquée - Niveau A1</t>
  </si>
  <si>
    <t>Steum</t>
  </si>
  <si>
    <t>Certificat de Langue des Signes Française Appliquée - Niveau A2</t>
  </si>
  <si>
    <t>Certificat de Langue des Signes Française Appliquée - Niveau B1</t>
  </si>
  <si>
    <t>Certificat de Langue des Signes Française Appliquée - Niveau B2</t>
  </si>
  <si>
    <t>Certificat de Langue des Signes Française Appliquée - Niveau C1</t>
  </si>
  <si>
    <t>Certificat d'espagnol SIELE</t>
  </si>
  <si>
    <t>Centre culturel de promotion de la langue et de la culture en espagnol - Instituto Cervantes</t>
  </si>
  <si>
    <t>Certification / formation professionnelle à l'anglais GYMGLISH</t>
  </si>
  <si>
    <t>GYMGLISH</t>
  </si>
  <si>
    <t>Certification d'anglais général et professionnel - Test CECR</t>
  </si>
  <si>
    <t>Altissia</t>
  </si>
  <si>
    <t>Certification en langue française Le Robert</t>
  </si>
  <si>
    <t>Zeugmo</t>
  </si>
  <si>
    <t>Certification Français Operandi Nettoyage-Propreté</t>
  </si>
  <si>
    <t>Chambre de commerce et d'industrie de Paris</t>
  </si>
  <si>
    <t>Certification professionnelle en langue Pipplet FLEX</t>
  </si>
  <si>
    <t>Pipplet</t>
  </si>
  <si>
    <t>Compétences linguistiques</t>
  </si>
  <si>
    <t>Diplôme approfondi de langue française (DALF) C1</t>
  </si>
  <si>
    <t>Diplôme approfondi de langue française (DALF) C2</t>
  </si>
  <si>
    <t>Diplôme de compétence en langue breton</t>
  </si>
  <si>
    <t>Diplôme de compétence en langue des signes française</t>
  </si>
  <si>
    <t>Diplôme de compétence en langue étrangère professionnelle allemand</t>
  </si>
  <si>
    <t>Diplôme de compétence en langue étrangère professionnelle anglais</t>
  </si>
  <si>
    <t>Diplôme de compétence en langue étrangère professionnelle arabe</t>
  </si>
  <si>
    <t>Diplôme de compétence en langue étrangère professionnelle chinois</t>
  </si>
  <si>
    <t>Diplôme de compétence en langue étrangère professionnelle espagnol</t>
  </si>
  <si>
    <t>Diplôme de compétence en langue étrangère professionnelle français langue étrangère</t>
  </si>
  <si>
    <t>Diplôme de compétence en langue étrangère professionnelle italien</t>
  </si>
  <si>
    <t>Diplôme de compétence en langue étrangère professionnelle portugais</t>
  </si>
  <si>
    <t>Diplôme de compétence en langue étrangère professionnelle russe</t>
  </si>
  <si>
    <t>Diplôme de compétence en langue occitan</t>
  </si>
  <si>
    <t>Diplôme de compétence en langue régionale</t>
  </si>
  <si>
    <t>Diplôme de français professionnel - Affaires A1</t>
  </si>
  <si>
    <t>Centre de langue française de la CCI Paris Ile-de-France</t>
  </si>
  <si>
    <t>Diplôme de français professionnel - Affaires A2</t>
  </si>
  <si>
    <t>Diplôme de français professionnel - Affaires B1</t>
  </si>
  <si>
    <t>Diplôme de français professionnel - Affaires B2</t>
  </si>
  <si>
    <t>Diplôme de français professionnel - Affaires C1</t>
  </si>
  <si>
    <t>Diplôme de français professionnel - Juridique B2</t>
  </si>
  <si>
    <t>Diplôme de français professionnel - Médical B2</t>
  </si>
  <si>
    <t>Diplôme de français professionnel - Mode A2</t>
  </si>
  <si>
    <t>Diplôme de français professionnel - Relations internationales B1</t>
  </si>
  <si>
    <t>Diplôme de français professionnel - Relations Internationales B2</t>
  </si>
  <si>
    <t>Chambre de Commerce et d'Industrie de Région Paris Ile-de-France - Le français des affaires</t>
  </si>
  <si>
    <t>Diplôme de français professionnel - Relations Internationales C1</t>
  </si>
  <si>
    <t>Diplôme de français professionnel - Scientifique et technique A2</t>
  </si>
  <si>
    <t>Diplôme de français professionnel - Scientifique et technique B1</t>
  </si>
  <si>
    <t>Diplôme de français professionnel - Secrétariat B1</t>
  </si>
  <si>
    <t>Diplôme de français professionnel - Secrétariat B2</t>
  </si>
  <si>
    <t>Diplôme de français professionnel - Soins infirmiers B2</t>
  </si>
  <si>
    <t>Diplôme de français professionnel - Tourisme-Hôtellerie-Restauration A2</t>
  </si>
  <si>
    <t>Diplôme de français professionnel - Tourisme-Hôtellerie-Restauration B2</t>
  </si>
  <si>
    <t>Diplôme de français professionnel -Tourisme-Hôtellerie-Restauration B1</t>
  </si>
  <si>
    <t>Diplôme d'espagnol comme langue étrangère - DELE A1</t>
  </si>
  <si>
    <t>Diplôme d'espagnol comme langue étrangère - DELE A2</t>
  </si>
  <si>
    <t>Diplôme d'espagnol comme langue étrangère - DELE B1</t>
  </si>
  <si>
    <t>Diplôme d'espagnol comme langue étrangère - DELE B2</t>
  </si>
  <si>
    <t>Diplôme d'espagnol comme langue étrangère - DELE C1</t>
  </si>
  <si>
    <t>Diplôme d'espagnol comme langue étrangère - DELE C2</t>
  </si>
  <si>
    <t>Diplôme d'études en langue française A1</t>
  </si>
  <si>
    <t>Diplôme d'études en langue française A2</t>
  </si>
  <si>
    <t>Diplôme d'études en langue française B1</t>
  </si>
  <si>
    <t>Diplôme d'études en langue française B2</t>
  </si>
  <si>
    <t>Diplôme d'études en langue française option professionnelle A1</t>
  </si>
  <si>
    <t>Diplôme d'études en langue française option professionnelle A2</t>
  </si>
  <si>
    <t>Diplôme d'études en langue française option professionnelle B1</t>
  </si>
  <si>
    <t>Diplôme d'études en langue française option professionnelle B2</t>
  </si>
  <si>
    <t>Diplôme initial de langue française (DILF)</t>
  </si>
  <si>
    <t>EFSET Test d'Anglais Professionnel et Général</t>
  </si>
  <si>
    <t>EF Education First</t>
  </si>
  <si>
    <t>EGA Euskara Gaitasun Agiria (Certificat de compétence en langue basque de niveau C1)</t>
  </si>
  <si>
    <t>EsPRO BULATS</t>
  </si>
  <si>
    <t>Université de Salamanque / PEOPLE-CERT</t>
  </si>
  <si>
    <t>Goethe - Test PRO - L'allemand professionnel</t>
  </si>
  <si>
    <t>Goethe-Institut</t>
  </si>
  <si>
    <t>Habilitation des examinateurs-correcteurs du Diplôme d'études en langue française (DELF) et du Diplôme approfondi de langue française (DALF)</t>
  </si>
  <si>
    <t>Centre international d'études pédagogiques (CIEP)</t>
  </si>
  <si>
    <t>Habilitation des examinateurs-correcteurs du Diplôme initial de langue française (DILF)</t>
  </si>
  <si>
    <t>Habilitation des formateurs des examinateurs-correcteurs du Diplôme d'études en langue française (DELF) et du Diplôme approfondi de langue française (DALF)</t>
  </si>
  <si>
    <t>Habilitation Ev@lang</t>
  </si>
  <si>
    <t>Cours de civilisation française de la Sorbonne, Inflexyon</t>
  </si>
  <si>
    <t>LILATE - Live Language Test</t>
  </si>
  <si>
    <t>Lingueo</t>
  </si>
  <si>
    <t>Test Bright Anglais "level A"</t>
  </si>
  <si>
    <t>Test Bright Language - évaluation Chinois Mandarin</t>
  </si>
  <si>
    <t>Test Bright Language - évaluation d'Anglais professionnel</t>
  </si>
  <si>
    <t>Test Bright Language - évaluation Néerlandais</t>
  </si>
  <si>
    <t>Test Bright Language - évaluation Russe</t>
  </si>
  <si>
    <t>Test Bright Language - test d'évaluation Allemand</t>
  </si>
  <si>
    <t>Test Bright Language - test d'évaluation Espagnol</t>
  </si>
  <si>
    <t>Test Bright Language - test d'évaluation Français langue étrangère FLE</t>
  </si>
  <si>
    <t>Test Bright Language - test d'évaluation Italien</t>
  </si>
  <si>
    <t>Test Bright Language - test d'évaluation Portugais</t>
  </si>
  <si>
    <t>Test de compétences en anglais - Evaluate your English Skills - EYES</t>
  </si>
  <si>
    <t>Intercountry Management</t>
  </si>
  <si>
    <t>Test de compétences en espagnol - Diagnóstico de Competencias de Espanol - DICE</t>
  </si>
  <si>
    <t>Test de connaissance du français - Accès à la nationalité française (TCF ANF)</t>
  </si>
  <si>
    <t>Test de Connaissance du Français « tout public » (TCF « tout public » ou TCF TP)</t>
  </si>
  <si>
    <t>Test de connaissance du français pour le Québec (TCF Québec)</t>
  </si>
  <si>
    <t>Test de Langue easySPEAKing</t>
  </si>
  <si>
    <t>Easyrecrue</t>
  </si>
  <si>
    <t>Test d'évaluation de français - TEF</t>
  </si>
  <si>
    <t>Test LEVELTEL - évaluation du niveau global de communication professionnelle en anglais, allemand, espagnol, italien ou français langue étrangère</t>
  </si>
  <si>
    <t>Ecsplicite</t>
  </si>
  <si>
    <t>Test TOEFL (Test of English as Foreign Language)</t>
  </si>
  <si>
    <t>Educational Testing Service (ETS) Global BV</t>
  </si>
  <si>
    <t>Test WiDaF</t>
  </si>
  <si>
    <t>Chambre Franco-Allemande de Commerce et d'Industrie</t>
  </si>
  <si>
    <t>Tests TOEIC® (Test of English for International Communication)</t>
  </si>
  <si>
    <t>Manutention</t>
  </si>
  <si>
    <t>Certificat d'aptitude à la conduite en sécurité R372 modifié engins de chantier catégorie 1 tracteurs et petits engins de chantier mobiles</t>
  </si>
  <si>
    <t>Certificat d'aptitude à la conduite en sécurité R372 modifié engins de chantier catégorie 10 déplacement chargement déchargement transfert d'engins sans activité de production (porte-engin) maintenance démonstration ou essais</t>
  </si>
  <si>
    <t>Certificat d'aptitude à la conduite en sécurité R372 modifié engins de chantier catégorie 2 engins d'extraction et/ou de chargement à déplacement séquentiel</t>
  </si>
  <si>
    <t>Certificat d'aptitude à la conduite en sécurité R372 modifié engins de chantier catégorie 3 engins d'extraction à déplacement alternatif</t>
  </si>
  <si>
    <t>Certificat d'aptitude à la conduite en sécurité R372 modifié engins de chantier catégorie 4 engins de chargement à déplacement alternatif</t>
  </si>
  <si>
    <t>Certificat d'aptitude à la conduite en sécurité R372 modifié engins de chantier catégorie 5 engins de finition à déplacement lent</t>
  </si>
  <si>
    <t>Certificat d'aptitude à la conduite en sécurité R372 modifié engins de chantier catégorie 6 engins de réglage à déplacement alternatif</t>
  </si>
  <si>
    <t>Certificat d'aptitude à la conduite en sécurité R372 modifié engins de chantier catégorie 7 engins de compactage à déplacement alternatif</t>
  </si>
  <si>
    <t>Certificat d'aptitude à la conduite en sécurité R372 modifié engins de chantier catégorie 8 engins de transport ou d'extraction de transport</t>
  </si>
  <si>
    <t>Certificat d'aptitude à la conduite en sécurité R372 modifié engins de chantier catégorie 9 engins de manutention</t>
  </si>
  <si>
    <t>Certificat d'aptitude à la conduite en sécurité R377 modifié grue à tour grue à tour à montage automatisé (GMA)</t>
  </si>
  <si>
    <t>Certificat d'aptitude à la conduite en sécurité R377 modifié grue à tour grue à tour à montage par éléments (GME)</t>
  </si>
  <si>
    <t>Certificat d'aptitude à la conduite en sécurité R383 modifié grues mobiles catégorie 1A mode de déplacement routier grue équipé d'un treillis</t>
  </si>
  <si>
    <t>Certificat d'aptitude à la conduite en sécurité R383 modifié grues mobiles catégorie 1B mode de déplacement routier grue télescopique avec ou sans fléchette</t>
  </si>
  <si>
    <t>Certificat d'aptitude à la conduite en sécurité R383 modifié grues mobiles catégorie 1C mode de déplacement routier grues mobiles à flèche spéciale</t>
  </si>
  <si>
    <t>Certificat d'aptitude à la conduite en sécurité R383 modifié grues mobiles catégorie 2A mode déplacement non routier grue équipée d'un treillis</t>
  </si>
  <si>
    <t>Certificat d'aptitude à la conduite en sécurité R383 modifié grues mobiles catégorie 2B mode de déplacement non routier grue télescopique avec ou sans fléchette</t>
  </si>
  <si>
    <t>Certificat d'aptitude à la conduite en sécurité R383 modifié grues mobiles catégorie 2C mode de déplacement non routier grue avec équipement spécial</t>
  </si>
  <si>
    <t>Certificat d'aptitude à la conduite en sécurité R386 plateforme-élévatrices mobiles de personnes (PEMP) catégorie 1A pas de déplacement de la nacelle avec élévation suivant un axe vertical</t>
  </si>
  <si>
    <t>Certificat d'aptitude à la conduite en sécurité R386 plateforme-élévatrices mobiles de personnes (PEMP) catégorie 1B pas de déplacement de la nacelle (stabilisateurs) avec élévation multidirectionnelle</t>
  </si>
  <si>
    <t>Certificat d'aptitude à la conduite en sécurité R386 plateforme-élévatrices mobiles de personnes (PEMP) catégorie 2A PEMP sur chassis porteurs (pas de stabilisateur) avec élévation suivant un axe vertical</t>
  </si>
  <si>
    <t>Certificat d'aptitude à la conduite en sécurité R386 plateforme-élévatrices mobiles de personnes (PEMP) catégorie 2B PEMP sur châssis porteur (pas de stabilisateurs) avec élévation multirectionnelle</t>
  </si>
  <si>
    <t>Certificat d'aptitude à la conduite en sécurité R386 plateforme-élévatrices mobiles de personnes (PEMP) catégorie 3A déplacement possible de la PEMP en position de travail (pas de stabilisateurs) avec élévation suivant un axe vertical</t>
  </si>
  <si>
    <t>Certificat d'aptitude à la conduite en sécurité R386 plateforme-élévatrices mobiles de personnes (PEMP) catégorie 3B déplacement possible de la PEMP en position de travail (pas de stabilisateurs) avec élévation multidirectionnelle</t>
  </si>
  <si>
    <t>Certificat d'aptitude à la conduite en sécurité R389 chariots automoteurs de manutention à conducteur porté catégorie 1 transpalettes à conducteur porté et préparateurs de commandes au sol (levée inférieure à 1 mètre)</t>
  </si>
  <si>
    <t>Certificat d'aptitude à la conduite en sécurité R389 chariots automoteurs de manutention à conducteur porté catégorie 2 chariots tracteurs et à plateau porteur de capacité inférieure à 6 000 kg</t>
  </si>
  <si>
    <t>Certificat d'aptitude à la conduite en sécurité R389 chariots automoteurs de manutention à conducteur porté catégorie 3 chariots élévateur en porte-à-faux de capacité inférieure ou égale à 6 000 kg</t>
  </si>
  <si>
    <t>Certificat d'aptitude à la conduite en sécurité R389 chariots automoteurs de manutention à conducteur porté catégorie 4 chariots élévateur en porte-à-faux de capacité supérieure à 6 000 kg</t>
  </si>
  <si>
    <t>Certificat d'aptitude à la conduite en sécurité R389 chariots automoteurs de manutention à conducteur porté catégorie 5 chariots élévateurs à mât rétractable</t>
  </si>
  <si>
    <t>Certificat d'aptitude à la conduite en sécurité R389 chariots automoteurs de manutention à conducteur porté catégorie 6 déplacement chargement transfert de chariots sans activité de production (porte-engins) maintenance démonstration ou essais</t>
  </si>
  <si>
    <t>Certificat d'aptitude à la conduite en sécurité R390 grues auxiliaires de chargement de véhicules</t>
  </si>
  <si>
    <t>Certificat d'aptitude à la conduite en sécurité R390 grues auxiliaires de chargement de véhicules option télécommande</t>
  </si>
  <si>
    <t>Certificat d'aptitude à la sécurité du travail en hauteur dans les remontées mécaniques et les domaines skiables - option : opérations suspendues</t>
  </si>
  <si>
    <t>Certificat d'aptitude à l'utilisation d'un pont roulant en sécurité R318</t>
  </si>
  <si>
    <t>Certificat d'aptitude à l'utilisation d'un pont roulant en sécurité R423</t>
  </si>
  <si>
    <t>Matériau produit chimique</t>
  </si>
  <si>
    <t>Certification à l'assurance qualité en industrie cosmétique - Certification QualiCos</t>
  </si>
  <si>
    <t>Certification à l'audit interne ou externe d'entreprise du secteur cosmétique - Certification audiCOS</t>
  </si>
  <si>
    <t>Certification de compétences et connaissances règlementaires sur les bonnes pratiques de fabrication des produits cosmétiques - Certification VisaeCos</t>
  </si>
  <si>
    <t>COFREND Ressuage (PT) niveau 2 - secteur Fabrication et Maintenance (CIFM)</t>
  </si>
  <si>
    <t>COFREND</t>
  </si>
  <si>
    <t>Conduite de la bobineuse de la machine à papier</t>
  </si>
  <si>
    <t>Union intersecteurs papiers cartons pour le dialogue et l'ingénierie sociale</t>
  </si>
  <si>
    <t>Conduite de la partie humide de la machine à papier</t>
  </si>
  <si>
    <t>Conduite de la sècherie d'une machine à papier</t>
  </si>
  <si>
    <t>Fabrication et contrôle de la conformité du papier</t>
  </si>
  <si>
    <t>Gestion de la station d'encre</t>
  </si>
  <si>
    <t>Gestion des outillages d'impression et de façonnage du papier carton</t>
  </si>
  <si>
    <t>Préparation de pâtes à papier</t>
  </si>
  <si>
    <t>Qualification de revêtements sur béton et stratification (QRB Niveau 1) opérateurs sur sites nucléaires</t>
  </si>
  <si>
    <t>EDF, Groupement des entrepreneurs de peinture industrielle, Céforas, IPRS</t>
  </si>
  <si>
    <t>Qualification de revêtements sur béton et stratification (QRB Niveau 2) chargés de contrôles et de vérification technique des travaux de peinture, revêtement et stratification sur sites nucléaires</t>
  </si>
  <si>
    <t>Mathématique</t>
  </si>
  <si>
    <t>Certification IBM Certified Specialist - SPSS Statistics</t>
  </si>
  <si>
    <t>Data analyst : Exploiter, analyser des données structurées et réaliser des études statistiques</t>
  </si>
  <si>
    <t>IBM Certified Specialist - Cognos TM1 Data Analysis</t>
  </si>
  <si>
    <t>Optimisation numérique et Data Science</t>
  </si>
  <si>
    <t>Artelys</t>
  </si>
  <si>
    <t>Mécanique construction réparation</t>
  </si>
  <si>
    <t>Analyse de schémas en clapets logiques</t>
  </si>
  <si>
    <t>CPNE de la métallurgie</t>
  </si>
  <si>
    <t>CATIA Conception Mécanique</t>
  </si>
  <si>
    <t>3ds</t>
  </si>
  <si>
    <t>Certification Métrologie 3 D</t>
  </si>
  <si>
    <t>COFFMET</t>
  </si>
  <si>
    <t>Certification Métrologie 3 D Expert</t>
  </si>
  <si>
    <t>Certification utilisation machine à mesurer 3D</t>
  </si>
  <si>
    <t>Contrôle du degré de contamination d'un fluide et lubrification</t>
  </si>
  <si>
    <t>Contrôle et réglage sur les systèmes proportionnels</t>
  </si>
  <si>
    <t>Entretien à caractère préventif sur des systèmes hydrauliques</t>
  </si>
  <si>
    <t>La navigabilité des aéronefs civils et étatiques</t>
  </si>
  <si>
    <t>Licence de mécanicien A1</t>
  </si>
  <si>
    <t>Licence de mécanicien A2</t>
  </si>
  <si>
    <t>Licence de mécanicien A3</t>
  </si>
  <si>
    <t>Licence de mécanicien A4</t>
  </si>
  <si>
    <t>Licence de mécanicien B1.1</t>
  </si>
  <si>
    <t>Licence de mécanicien B1.2</t>
  </si>
  <si>
    <t>Licence de mécanicien B1.3</t>
  </si>
  <si>
    <t>Licence de mécanicien B1.4</t>
  </si>
  <si>
    <t>Licence de mécanicien C aéronefs autres que lourds</t>
  </si>
  <si>
    <t>Licence de mécanicien C aéronefs lourds</t>
  </si>
  <si>
    <t>Management d'équipe de production aéronautique de premier niveau</t>
  </si>
  <si>
    <t>Airbus Group Leadership University</t>
  </si>
  <si>
    <t>Mécanique de la rupture pour l'ingénieur - Initiation</t>
  </si>
  <si>
    <t>Mécanique de la rupture pour l'ingénieur - Outils et démarches</t>
  </si>
  <si>
    <t>Mise en oeuvre des asservissements électrohydrauliques</t>
  </si>
  <si>
    <t>Module 10 législation aéronautique (connaissances de base mécanicien aéronautique)</t>
  </si>
  <si>
    <t>Ministère de la transition écologique et solidaire, Direction générale de l'aviation civile</t>
  </si>
  <si>
    <t>Module 11A aérodynamique des avions à turbine, structures et systèmes (connaissances de base mécanicien aéronautique)</t>
  </si>
  <si>
    <t>Module 11B aérodynamique des avions à pistons, structures et systèmes (connaissances de base mécanicien aéronautique)</t>
  </si>
  <si>
    <t>Module 11C aérodynamique des avions à pistons, structures et systèmes (connaissances de base mécanicien aéronautique)</t>
  </si>
  <si>
    <t>Module 12 Aérodynamique des Hélicoptères, structures et systèmes (connaissances de base mécanicien aéronautique)</t>
  </si>
  <si>
    <t>Module 13 Aérodynamique des Aéronefs, structures et systèmes (connaissances de base: mécanicien aéronautique)</t>
  </si>
  <si>
    <t>Module 14 propulsion (connaissances de base: mécanicien aéronautique)</t>
  </si>
  <si>
    <t>Module 15 turbine à gaz (connaissances de base: mécanicien aéronautique)</t>
  </si>
  <si>
    <t>Module 16 Moteur à pistons (connaissances de base: mécanicien aéronautique)</t>
  </si>
  <si>
    <t>Module 17 A Hélice (connaissances de base: mécanicien aéronautique)</t>
  </si>
  <si>
    <t>Module 17 B Hélice (connaissances de base: mécanicien aéronautique)</t>
  </si>
  <si>
    <t>Module 2 Physique (connaissances de base mécanicien aéronautique)</t>
  </si>
  <si>
    <t>Module 3 Principes essentiels d'électricité (connaissances de base mécanicien aéronautique)</t>
  </si>
  <si>
    <t>Module 4 Principes essentiels d'électronique (connaissances de base mécanicien aéronautique)</t>
  </si>
  <si>
    <t>Module 5 Principes techniques numériques / systèmes d'instrumentation électronique (connaissances de base mécanicien aéronautique)</t>
  </si>
  <si>
    <t>Module 6 Matériaux et Matériels (connaissances de base mécanicien aéronautique)</t>
  </si>
  <si>
    <t>Module 7A procédures d'entretien (connaissances de base mécanicien aéronautique)</t>
  </si>
  <si>
    <t>Module 7B procédures d'entretien (connaissances de base mécanicien aéronautique)</t>
  </si>
  <si>
    <t>Module 8 aérodynamique de base (connaissances de base mécanicien aéronautique)</t>
  </si>
  <si>
    <t>Module 9A Facteurs Humains(connaissances de base mécanicien aéronautique)</t>
  </si>
  <si>
    <t>Module 9B Facteurs Humains (connaissances de base mécanicien aéronautique)</t>
  </si>
  <si>
    <t>Module1 Mathématiques (connaissances de base mécanicien aéronautique)</t>
  </si>
  <si>
    <t>Qualification de type (Mécanicien aéronautique)</t>
  </si>
  <si>
    <t>Réalisation de tuyautage et raccordement hydraulique</t>
  </si>
  <si>
    <t>Physique</t>
  </si>
  <si>
    <t>Compatibilité électromagnétique des systèmes</t>
  </si>
  <si>
    <t>Prévention sécurité</t>
  </si>
  <si>
    <t>Accompagnement au déploiement de la santé-qualité de vie dans les organisations</t>
  </si>
  <si>
    <t>Agrément des conseillers en prévention des risques professionnels en agriculture</t>
  </si>
  <si>
    <t>Animateur Prévention SSE</t>
  </si>
  <si>
    <t>Attestation de formation de base à l'hygiène</t>
  </si>
  <si>
    <t>Attestation de formation des agents des entreprises de protection privée de navires</t>
  </si>
  <si>
    <t>Attestation de formation des dirigeants des entreprises de protection privée de navires</t>
  </si>
  <si>
    <t>Auditeur de la Session nationale de l'IHEDN "Armement et économie de défense"</t>
  </si>
  <si>
    <t>Ministère des Armées, Institut des hautes études de Défense nationale</t>
  </si>
  <si>
    <t>Auditeur de la Session nationale de l'IHEDN "Politique de défense"</t>
  </si>
  <si>
    <t>Auditeur ICA Environnement</t>
  </si>
  <si>
    <t>Auditeur ICA Santé Sécurité au travail</t>
  </si>
  <si>
    <t>Auditeur IRCA de système de management environnemental (conversion)</t>
  </si>
  <si>
    <t>Brevet national de pisteur secouriste option ski alpin 1er degré</t>
  </si>
  <si>
    <t>Ministère de l'intérieur, Association nationale des professionnels de la sécurité des pistes (ANPSP), École nationale de ski de fond et de saut, École nationale de ski et d'alpinisme (ENSA), Fédération française de ski (FFS), Syndicat national des téléphériques de France (SNTF)</t>
  </si>
  <si>
    <t>Brevet national de pisteur secouriste option ski alpin 2ème degré</t>
  </si>
  <si>
    <t>Brevet national de pisteur secouriste option ski alpin 3ème degré</t>
  </si>
  <si>
    <t>Brevet national de pisteur secouriste option ski nordique 1er degré</t>
  </si>
  <si>
    <t>Brevet national de pisteur secouriste option ski nordique 2ème degré</t>
  </si>
  <si>
    <t>Brevet national de pisteur secouriste option ski nordique 3ème degré</t>
  </si>
  <si>
    <t>Certificat d'acquis professionnels Responsable Sécurité au travail et prévention des risques professionnels OHSAS 18001</t>
  </si>
  <si>
    <t>Certificat d'acteur prévention des risques liés à l'activité physique Secteur Industrie, Bâtiment, Commerce (dénommé « acteur PRAP IBC »)</t>
  </si>
  <si>
    <t>Certificat d'acteur prévention des risques liés à l'activité physique Secteur sanitaire et social (dénommé « acteur PRAP 2S »)</t>
  </si>
  <si>
    <t>Certificat d'acteur prévention secours du secteur de l'aide et du soin à domicile</t>
  </si>
  <si>
    <t>Certificat d'aptitude à l'exploitation des embarcations et radeaux de sauvetage (CAEERS)</t>
  </si>
  <si>
    <t>Certificat de compétences de formateur au sauvetage aquatique en milieu naturel</t>
  </si>
  <si>
    <t>Direction générale de la sécurité civile et de la gestion des crises (DGSCGR) - Ministère de l'intérieur, Fédération française des maîtres-nageurs sauveteurs</t>
  </si>
  <si>
    <t>Certificat de compétences de formateur aux premiers secours</t>
  </si>
  <si>
    <t>Ministère des Armées, 6e bataillon d'infanterie de marine, Aéroports de Paris, Base aérienne n°104, Base aérienne n°188, Brigade des sapeurs-pompiers de Paris, Direction de la sécurité et de la sûreté nucléaire du commissariat à l'énergie atomique et aux énergies alternatives, Direction générale de la gendarmerie nationale (DGGN), Direction générale de la police nationale (DGPN), Ecole du Val-de-Grâce, Etat-major de la marine nationale, Fédération française des maîtres-nageurs sauveteurs, Ministère de l'intérieur, Service médical de la présidence de la République</t>
  </si>
  <si>
    <t>Certificat de compétences de formateur en prévention et secours civiques</t>
  </si>
  <si>
    <t>Ministère de la justice, Ministère des Armées, 6e bataillon d'infanterie de marine, Aéroports de Paris, Association nationale des instructeurs et moniteurs de secourisme, Base aérienne n°104, Base aérienne n°188, Brigade des sapeurs-pompiers de Paris, Direction de l'administration pénitentiaire, Direction générale de la gendarmerie nationale (DGGN), Direction générale de la police nationale (DGPN), Ecole du Val-de-Grâce, Etat-major de la marine nationale, Fédération des Clubs de la Défense, Fédération française des maîtres-nageurs sauveteurs, Fédération nationale de sapeurs-pompiers de France, Lycée Pierre Mendès-France de Tunis (République tunisienne), Ministère de l'intérieur, Service médical de la présidence de la République, Société européenne de médecine de sapeurs-pompiers, Union française des oeuvres laïques d'éducation physique (UFOLEP)</t>
  </si>
  <si>
    <t>Certificat de compétences de surveillant-sauveteur aquatique en eaux intérieures</t>
  </si>
  <si>
    <t>Certificat de compétences de surveillant-sauveteur aquatique sur le littoral</t>
  </si>
  <si>
    <t>Certificat de Consultant / Formateur en Prévention des Risques Psychosociaux</t>
  </si>
  <si>
    <t>SOFIS</t>
  </si>
  <si>
    <t>Certificat de qualification avancée à la lutte contre l'incendie</t>
  </si>
  <si>
    <t>Certificat de sauveteur-secouriste du travail (SST)</t>
  </si>
  <si>
    <t>Institut national de recherche et de sécurité, Ministère de l'intérieur, Ministère du travail</t>
  </si>
  <si>
    <t>Certificat gestes d'intervention opérationnelle de sécurité</t>
  </si>
  <si>
    <t>Krysal Consulting</t>
  </si>
  <si>
    <t>Certification "Perfectionnement à la gestion des risques industriels et environnementaux dans les coopératives agricoles et leurs filiales"</t>
  </si>
  <si>
    <t>Certification de Compétence d'Ingénieur Professionnel en Sécurité du travail</t>
  </si>
  <si>
    <t>Certification PECB - Management du risque</t>
  </si>
  <si>
    <t>Conduite d'une démarche santé-qualité de vie dans les organisations</t>
  </si>
  <si>
    <t>Coordinateur prévention SSE</t>
  </si>
  <si>
    <t>Cycle défense et sécurité nationale « Grandes écoles » de l'IHEDN</t>
  </si>
  <si>
    <t>Cycle défense et sécurité nationale « Jeunes » de l'IHEDN</t>
  </si>
  <si>
    <t>Cycle défense et sécurité nationale « Master 2 » de l'IHEDN</t>
  </si>
  <si>
    <t>Diplôme de chef d'agrès de sapeur pompier volontaire</t>
  </si>
  <si>
    <t>Ministère de l'intérieur</t>
  </si>
  <si>
    <t>Diplôme de chef d'équipe de sapeur pompier volontaire</t>
  </si>
  <si>
    <t>Diplôme d'équipier de sapeur-pompier volontaire</t>
  </si>
  <si>
    <t>Expertise technique et pédagogique en manutention des personne</t>
  </si>
  <si>
    <t>IRFA Evolution</t>
  </si>
  <si>
    <t>Formateur de formateurs en sauvetage secourisme du travail (SST)</t>
  </si>
  <si>
    <t>Ministère de l'intérieur, Ministère du travail, Institut national de recherche et de sécurité</t>
  </si>
  <si>
    <t>Formateur en sauvetage secourisme du travail (SST)</t>
  </si>
  <si>
    <t>Formateur Ism-ATEX Electrique (Formateur installation Niveau 3-*E)</t>
  </si>
  <si>
    <t>INERIS</t>
  </si>
  <si>
    <t>Formateur Ism-ATEX Non Electrique (Formateur installation Niveau 3-*M)</t>
  </si>
  <si>
    <t>Formation Certifiante (CP FFP) "Référent Sécurité Prévention"</t>
  </si>
  <si>
    <t>Gérer et prévenir les risques psychosociaux</t>
  </si>
  <si>
    <t>Ecole de psychologie du travail</t>
  </si>
  <si>
    <t>Gestion de crise</t>
  </si>
  <si>
    <t>Ecole supérieure de la sûreté des entreprises</t>
  </si>
  <si>
    <t>Gestion des Situations opérationnelles à Risques</t>
  </si>
  <si>
    <t>Université du Havre</t>
  </si>
  <si>
    <t>Maintenir et actualiser ses compétences d'acteur prap - industrie, BTP, commerce</t>
  </si>
  <si>
    <t>Maintenir et actualiser ses compétences d'acteur prap - sanitaire et social</t>
  </si>
  <si>
    <t>Maintenir et actualiser ses compétences de sauveteur secouriste du travail</t>
  </si>
  <si>
    <t>Management de la santé sécurité au travail</t>
  </si>
  <si>
    <t>Management de la sûreté</t>
  </si>
  <si>
    <t>Management du risque de fraude et de corruption niveau 1</t>
  </si>
  <si>
    <t>Management du risque de fraude et de corruption niveau 2</t>
  </si>
  <si>
    <t>Management stratégique d'organisations à risques</t>
  </si>
  <si>
    <t>Neutralisation et enlèvement des munitions conventionnelles (OCNEM)</t>
  </si>
  <si>
    <t>Pôle Inter Armées de traitement du danger Munitions et Explosifs</t>
  </si>
  <si>
    <t>Premiers secours en équipe niveau 1</t>
  </si>
  <si>
    <t>Ministère des sports, 6e bataillon d'infanterie de marine, Aéroports de Paris, Association nationale des professionnels de la sécurité des pistes (ANPSP), Base aérienne n°104, Base aérienne n°188, Bataillon de commandement et de soutien de la brigade franco-allemande, Brigade des sapeurs-pompiers de Paris, Direction de la sécurité et de la sûreté nucléaire du commissariat à l'énergie atomique et aux énergies alternatives, Direction des sports (DS), Direction des sports (DS), Direction générale de la gendarmerie nationale (DGGN), Direction générale de la police nationale (DGPN), Direction générale de la santé, Ecole du Val-de-Grâce, Etat-major de la marine nationale, Fédération française des maîtres-nageurs sauveteurs, Fédération nationale de sapeurs-pompiers de France, Fédération nationale des métiers de la natation et du sport (FNMNS), Ministère de l'intérieur, Ministère des Armées, Ministère des sports, Opéra national de Paris, Service de surveillance et de sécurité du Sénat, Service médical de la présidence de la République, Société européenne de médecine de sapeurs-pompiers</t>
  </si>
  <si>
    <t>Premiers secours en équipe niveau 2</t>
  </si>
  <si>
    <t>Ministère de l'intérieur, Ministère des sports, 6e bataillon d'infanterie de marine, Aéroports de Paris, Association nationale des professionnels de la sécurité des pistes (ANPSP), Base aérienne n°104, Base aérienne n°188, Bataillon de commandement et de soutien de la brigade franco-allemande, Brigade des sapeurs-pompiers de Paris, Direction de la sécurité et de la sûreté nucléaire du commissariat à l'énergie atomique et aux énergies alternatives, Direction des sports (DS), Direction des sports (DS), Direction générale de la gendarmerie nationale (DGGN), Direction générale de la police nationale (DGPN), Direction générale de la santé, Division instruction santé des armées, Ecole du Val-de-Grâce, Etat-major de la marine nationale, Fédération française des maîtres-nageurs sauveteurs, Fédération nationale de sapeurs-pompiers de France, Fédération nationale des métiers de la natation et du sport (FNMNS), Ministère des Armées, Ministère des sports, Opéra national de Paris, Service de surveillance et de sécurité du Sénat, Service médical de la présidence de la République</t>
  </si>
  <si>
    <t>Prévention et secours civiques de niveau 1</t>
  </si>
  <si>
    <t>Fédération nationale de sapeurs-pompiers de France, Ministère de la culture, Ministère de la transition écologique et solidaire, Ministère de l'intérieur, Ministère des sports, 6e bataillon d'infanterie de marine, Aéroports de Paris, Aéroports de Paris, Association nationale des instructeurs et moniteurs de secourisme, Association nationale des professionnels de la sécurité des pistes (ANPSP), Association Secourir, Base aérienne n°104, Base aérienne n°188, Bataillon de commandement et de soutien de la brigade franco-allemande, Bataillon de commandement et de soutien de la brigade franco-allemande, Brigade des sapeurs-pompiers de Paris, Caisse des dépôts et consignations, Centre national d'enseignement et de développement du secourisme (CNEDS), Direction de la sécurité et de la sûreté nucléaire du commissariat à l'énergie atomique et aux énergies alternatives, Direction de l'administration pénitentiaire, Direction des sports (DS), Direction des sports (DS), Direction générale de la gendarmerie nationale (DGGN), Direction générale de la police nationale (DGPN), Direction générale de la sécurité civile et de la gestion des crises (DGSCGR) - Ministère de l'intérieur, Direction générale de l'enseignement scolaire (DGESCO), Direction générale des patrimoines, Ecole du Val-de-Grâce, Etat-major de la marine nationale, Fédération des Clubs de la Défense, Fédération française des maîtres-nageurs sauveteurs, Fédération française d'études et de sports sous-marins (FFESSM), Fédération nationale des métiers de la natation et du sport (FNMNS), Lycée français d'Alicante Pierre Deschamps (Espagne), Lycée français de Barcelone, Lycée français de Palma (Espagne), Lycée français de Prague, Lycée français de Shangai, Lycée français du Caire, Lycée français Gustave Flaubert de La Marsa, Lycée français international de Pékin, Lycée français Jean Mermoz de Dakar (Sénégal), Lycée français Molière de Villanueva de la Cañada (Madrid - Espagne), Lycée français Pierre Loti (République de Turquie), Lycée français Prins Henrik de Copenhague (Royaume du Danemark), Lycée franco-hellénique Eugène Delacroix d'Athènes (République hellénique), Lycée international Alexandre Dumas d'Alger (République algérienne), Lycée Pierre Mendès-France de Tunis (République tunisienne), Ministère de la cohésion des territoires, Ministère de la justice, Ministère de la transition écologique et solidaire, Ministère de l'éducation nationale, Ministère des Armées, Ministère des sports, Opéra national de Paris, Service de l'action administrative et de la modernisation, Service de surveillance et de sécurité du Sénat, Service médical de la présidence de la République, Société européenne de médecine de sapeurs-pompiers, Union française des oeuvres laïques d'éducation physique (UFOLEP), Union générale sportive de l'enseignement libre (UGSEL), Voies navigables de France (VNF)</t>
  </si>
  <si>
    <t>Référent Prévention SSE</t>
  </si>
  <si>
    <t>Référent santé, sécurité et qualité de vie au travail</t>
  </si>
  <si>
    <t>Cabinet MASTER</t>
  </si>
  <si>
    <t>Risk Manager ISO 31000</t>
  </si>
  <si>
    <t>Service de sécurité incendie et d'assistance aux personnes de niveau 1 (SSIAP 1) - diplôme d'agent de service</t>
  </si>
  <si>
    <t>Service de sécurité incendie et d'assistance aux personnes de niveau 2 (SSIAP 2) - diplôme de chef d'équipe</t>
  </si>
  <si>
    <t>Service de sécurité incendie et d'assistance aux personnes de niveau 3 (SSIAP 3) - diplôme de chef de service</t>
  </si>
  <si>
    <t>Session en région "Politique de défense" de l'IHEDN</t>
  </si>
  <si>
    <t>Session nationale de l'IHEDN "Enjeux et stratégies maritimes"</t>
  </si>
  <si>
    <t>Typologie 1</t>
  </si>
  <si>
    <t>Typologie 10</t>
  </si>
  <si>
    <t>Typologie 2</t>
  </si>
  <si>
    <t>Typologie 3</t>
  </si>
  <si>
    <t>Typologie 4</t>
  </si>
  <si>
    <t>Typologie 5</t>
  </si>
  <si>
    <t>Typologie 6</t>
  </si>
  <si>
    <t>Typologie 7</t>
  </si>
  <si>
    <t>Typologie 8</t>
  </si>
  <si>
    <t>Typologie 9</t>
  </si>
  <si>
    <t>Psychologie</t>
  </si>
  <si>
    <t>Certificat de compétence à l'Animation d'Ateliers d'Expression Créatrice Centrés sur le Soin à la Personne</t>
  </si>
  <si>
    <t>SGNEW Art Cru</t>
  </si>
  <si>
    <t>Qualité</t>
  </si>
  <si>
    <t>Amélioration des processus niveau « Jaune » - Lean / Lean Six Sigma Yellow Belt</t>
  </si>
  <si>
    <t>Amélioration des processus niveau « Vert » - Lean / Lean Six Sigma Green Belt</t>
  </si>
  <si>
    <t>Assurance qualité amélioration continue en industrie de santé</t>
  </si>
  <si>
    <t>Assurance qualité libération en industrie de santé</t>
  </si>
  <si>
    <t>Assurance qualité supply chain en industrie de santé</t>
  </si>
  <si>
    <t>Assurance qualité système en industrie de santé</t>
  </si>
  <si>
    <t>Auditeur ICA QSE Intégré</t>
  </si>
  <si>
    <t>Auditeur IRCA de système de management SST (conversion)</t>
  </si>
  <si>
    <t>Certificat d'acquis professionnels "Technicien en qualité"</t>
  </si>
  <si>
    <t>Certificat d'acquis professionnels Responsable de système QSE</t>
  </si>
  <si>
    <t>Certificat d'acquis professionnels Responsable qualité et contrôle interne</t>
  </si>
  <si>
    <t>Certificat d'acquis professionnels Technicien QHSE</t>
  </si>
  <si>
    <t>Certificat d'aptitude à manipuler les appareils de radiologie industrielle (CAMARI) option accélérateur de particules</t>
  </si>
  <si>
    <t>Ministère du travail, Institut de radioprotection et de sûreté nucléaire (IRSN)</t>
  </si>
  <si>
    <t>Certificat d'aptitude à manipuler les appareils de radiologie industrielle (CAMARI) option appareil de radiologie industrielle</t>
  </si>
  <si>
    <t>Certificat d'aptitude à manipuler les appareils de radiologie industrielle (CAMARI) option générateur électrique de rayons X</t>
  </si>
  <si>
    <t>Certificat de compétences "Auditeur interne qualité"</t>
  </si>
  <si>
    <t>Certificat de compétences "Auditeur qualité fournisseur"</t>
  </si>
  <si>
    <t>Certificat de compétences en entreprise (CCE) Développer la qualité au service du client</t>
  </si>
  <si>
    <t>Certificat Manager la qualité dans un laboratoire d'analyses, d'essais et d'étalonnages</t>
  </si>
  <si>
    <t>Certificat Mener un audit dans un organisme fournisseur de prestations de formation</t>
  </si>
  <si>
    <t>Certification animateur qualité sur un site de production pharmaceutique</t>
  </si>
  <si>
    <t>Certification auditeur externe dans les industries de santé</t>
  </si>
  <si>
    <t>Certification audits qualité dans les industries de santé et fournisseurs des industries de santé</t>
  </si>
  <si>
    <t>Certification de Compétence d'Ingénieur Professionnel en Qualité</t>
  </si>
  <si>
    <t>Certification de compétences et connaissances règlementaires sur les bonnes pratiques de fabrication du médicament - Certification VisaePharma</t>
  </si>
  <si>
    <t>Certification de personnel réalisant des contrôles non destructif d'assemblages soudés</t>
  </si>
  <si>
    <t>Certification en assurance qualité site exploitant dans l'industrie pharmaceutique</t>
  </si>
  <si>
    <t>Certification en audit des façonniers de l'industrie pharmaceutique</t>
  </si>
  <si>
    <t>Certification en audit des fournisseurs de matières premières de l'industrie pharmaceutique</t>
  </si>
  <si>
    <t>Certification en audit des fournisseurs des articles de conditionnement de l'industrie pharmaceutique</t>
  </si>
  <si>
    <t>Certification en audit interne des sites de production de l'industrie pharmaceutique</t>
  </si>
  <si>
    <t>Certification gestionnaire de la qualité au laboratoire de contrôle dans les industries de santé</t>
  </si>
  <si>
    <t>International Association Six Sigma Certification</t>
  </si>
  <si>
    <t>Certification Lean Six Sigma Black Belt</t>
  </si>
  <si>
    <t>Certification Lean Six Sigma Green Belt</t>
  </si>
  <si>
    <t>Certification Six Sigma Black Belt</t>
  </si>
  <si>
    <t>Certification Six Sigma Green Belt</t>
  </si>
  <si>
    <t>COFREND Courants de Foucault (ET) niveau 1 - secteur Aéronautique (COSAC)</t>
  </si>
  <si>
    <t>COFREND Courants de Foucault (ET) niveau 1 - Secteur Fabrication et Maintenance (CIFM)</t>
  </si>
  <si>
    <t>COFREND Courants de Foucault (ET) niveau 1 - secteur Produits Métalliques (CCPM)</t>
  </si>
  <si>
    <t>COFREND Courants de Foucault (ET) niveau 2 - secteur Aéronautique (COSAC)</t>
  </si>
  <si>
    <t>COFREND Courants de Foucault (ET) niveau 2 - Secteur Fabrication et Maintenance (CIFM)</t>
  </si>
  <si>
    <t>COFREND Courants de Foucault (ET) niveau 2 - secteur Produits Métalliques (CCPM)</t>
  </si>
  <si>
    <t>COFREND Courants de Foucault (ET) niveau 3 - secteur Aéronautique (COSAC)</t>
  </si>
  <si>
    <t>COFREND Courants de Foucault (ET) niveau 3 - Secteur Fabrication et Maintenance (CIFM)</t>
  </si>
  <si>
    <t>COFREND Courants de Foucault (ET) niveau 3 - secteur Produits Métalliques (CCPM)</t>
  </si>
  <si>
    <t>COFREND Emission Acoustique (AT) niveau 2 - secteur Fabrication et Maintenance (CIFM)</t>
  </si>
  <si>
    <t>COFREND Emission Acoustique (AT) niveau 3 - secteur Fabrication et Maintenance (CIFM)</t>
  </si>
  <si>
    <t>COFREND Etanchéité (LT) niveau 1 - secteur Fabrication et Maintenance (CIFM)</t>
  </si>
  <si>
    <t>COFREND Etanchéité (LT) niveau 2 - secteur Fabrication et Maintenance (CIFM)</t>
  </si>
  <si>
    <t>COFREND Etanchéité (LT) niveau 3 - secteur Fabrication et Maintenance (CIFM)</t>
  </si>
  <si>
    <t>COFREND Interférométrie (ST) niveau 1 - secteur Aéronautique (COSAC)</t>
  </si>
  <si>
    <t>COFREND Interférométrie (ST) niveau 2 - secteur Aéronautique (COSAC)</t>
  </si>
  <si>
    <t>COFREND Interférométrie (ST) niveau 3 - secteur Aéronautique (COSAC)</t>
  </si>
  <si>
    <t>COFREND Magnétoscopie (MT) niveau 1 - secteur Fabrication et Maintenance (CIFM)</t>
  </si>
  <si>
    <t>COFREND Magnétoscopie (MT) niveau 1 - Secteur Ferroviaire (CFCM)</t>
  </si>
  <si>
    <t>COFREND Magnétoscopie (MT) niveau 1 - secteur Produits Métalliques (CCPM)</t>
  </si>
  <si>
    <t>COFREND Magnétoscopie (MT) niveau 2 - secteur Aéronautique (COSAC)</t>
  </si>
  <si>
    <t>COFREND Magnétoscopie (MT) niveau 2 - secteur Fabrication et Maintenance (CIFM)</t>
  </si>
  <si>
    <t>COFREND Magnétoscopie (MT) niveau 2 - Secteur Ferroviaire (CFCM)</t>
  </si>
  <si>
    <t>COFREND Magnétoscopie (MT) niveau 2 - secteur Produits Métalliques (CCPM)</t>
  </si>
  <si>
    <t>COFREND Magnétoscopie (MT) niveau 3 - secteur Aéronautique (COSAC)</t>
  </si>
  <si>
    <t>COFREND Magnétoscopie (MT) niveau 3 - secteur Fabrication et Maintenance (CIFM)</t>
  </si>
  <si>
    <t>COFREND Magnétoscopie (MT) niveau 3 - Secteur Ferroviaire (CFCM)</t>
  </si>
  <si>
    <t>COFREND Magnétoscopie (MT) niveau 3 - secteur Produits Métalliques (CCPM)</t>
  </si>
  <si>
    <t>COFREND Magnétoscopie (ST) niveau 1 - secteur Aéronautique (COSAC)</t>
  </si>
  <si>
    <t>COFREND Radiographie (RT) niveau 1 - secteur Aéronautique (COSAC)</t>
  </si>
  <si>
    <t>COFREND Radiographie (RT) niveau 1 - secteur Fabrication et Maintenance (CIFM)</t>
  </si>
  <si>
    <t>COFREND Radiographie (RT) niveau 1 - Secteur Ferroviaire (CFCM)</t>
  </si>
  <si>
    <t>COFREND Radiographie (RT) niveau 1 - secteur Produits Métalliques (CCPM)</t>
  </si>
  <si>
    <t>COFREND Radiographie (RT) niveau 2 - secteur Aéronautique (COSAC)</t>
  </si>
  <si>
    <t>COFREND Radiographie (RT) niveau 2 - secteur Fabrication et Maintenance (CIFM)</t>
  </si>
  <si>
    <t>COFREND Radiographie (RT) niveau 2 - Secteur Ferroviaire (CFCM)</t>
  </si>
  <si>
    <t>COFREND Radiographie (RT) niveau 2 - secteur Produits Métalliques (CCPM)</t>
  </si>
  <si>
    <t>COFREND Radiographie (RT) niveau 3 - secteur Aéronautique (COSAC)</t>
  </si>
  <si>
    <t>COFREND Radiographie (RT) niveau 3 - secteur Fabrication et Maintenance (CIFM)</t>
  </si>
  <si>
    <t>COFREND Radiographie (RT) niveau 3 - Secteur Ferroviaire (CFCM)</t>
  </si>
  <si>
    <t>COFREND Radiographie (RT) niveau 3 - secteur Produits Métalliques (CCPM)</t>
  </si>
  <si>
    <t>COFREND Ressuage (PT) niveau 1 - secteur Aéronautique (COSAC)</t>
  </si>
  <si>
    <t>COFREND Ressuage (PT) niveau 1 - secteur Fabrication et Maintenance (CIFM)</t>
  </si>
  <si>
    <t>COFREND Ressuage (PT) niveau 1 - Secteur Ferroviaire (CFCM)</t>
  </si>
  <si>
    <t>COFREND Ressuage (PT) niveau 1 - secteur Produits Métalliques (CCPM)</t>
  </si>
  <si>
    <t>COFREND Ressuage (PT) niveau 2 - secteur Aéronautique (COSAC)</t>
  </si>
  <si>
    <t>COFREND Ressuage (PT) niveau 2 - Secteur Ferroviaire (CFCM)</t>
  </si>
  <si>
    <t>COFREND Ressuage (PT) niveau 2 - secteur Produits Métalliques (CCPM)</t>
  </si>
  <si>
    <t>COFREND Ressuage (PT) niveau 3 - secteur Aéronautique (COSAC)</t>
  </si>
  <si>
    <t>COFREND Ressuage (PT) niveau 3 - secteur Fabrication et Maintenance (CIFM)</t>
  </si>
  <si>
    <t>COFREND Ressuage (PT) niveau 3 - Secteur Ferroviaire (CFCM)</t>
  </si>
  <si>
    <t>COFREND Ressuage (PT) niveau 3 - secteur Produits Métalliques (CCPM)</t>
  </si>
  <si>
    <t>COFREND Thermographie (TT) niveau 1 - secteur Aéronautique (COSAC)</t>
  </si>
  <si>
    <t>COFREND Thermographie (TT) niveau 2 - secteur Aéronautique (COSAC)</t>
  </si>
  <si>
    <t>COFREND Thermographie (TT) niveau 3 - secteur Aéronautique (COSAC)</t>
  </si>
  <si>
    <t>COFREND TOFD (TOFD) niveau 2 - secteur Fabrication et Maintenance (CIFM)</t>
  </si>
  <si>
    <t>COFREND TOFD (TOFD) niveau 3 - secteur Fabrication et Maintenance (CIFM)</t>
  </si>
  <si>
    <t>COFREND Ultrasons (UT) niveau 1 - secteur Aéronautique (COSAC)</t>
  </si>
  <si>
    <t>COFREND Ultrasons (UT) niveau 1 - secteur Fabrication et Maintenance (CIFM)</t>
  </si>
  <si>
    <t>COFREND Ultrasons (UT) niveau 1 - secteur Produits Métalliques (CCPM)</t>
  </si>
  <si>
    <t>COFREND Ultrasons (UT) niveau 2 - secteur Aéronautique (COSAC)</t>
  </si>
  <si>
    <t>COFREND Ultrasons (UT) niveau 2 - secteur Fabrication et Maintenance (CIFM)</t>
  </si>
  <si>
    <t>COFREND Ultrasons (UT) niveau 2 - secteur Produits Métalliques (CCPM)</t>
  </si>
  <si>
    <t>COFREND Ultrasons (UT) niveau 3 - secteur Aéronautique (COSAC)</t>
  </si>
  <si>
    <t>COFREND Ultrasons (UT) niveau 3 - secteur Fabrication et Maintenance (CIFM)</t>
  </si>
  <si>
    <t>COFREND Ultrasons (UT) niveau 3 - secteur Produits Métalliques (CCPM)</t>
  </si>
  <si>
    <t>COFREND Visuel (VT) niveau 1 - secteur Fabrication et Maintenance (CIFM)</t>
  </si>
  <si>
    <t>COFREND Visuel (VT) niveau 2 - secteur Fabrication et Maintenance (CIFM)</t>
  </si>
  <si>
    <t>COFREND Visuel (VT) niveau 3 - secteur Fabrication et Maintenance (CIFM)</t>
  </si>
  <si>
    <t>Fonction métrologie dans l'entreprise</t>
  </si>
  <si>
    <t>Intervenant premier niveau en qualité et prévention en organisme de formation</t>
  </si>
  <si>
    <t>Maîtrise statistique des processus</t>
  </si>
  <si>
    <t>Management qualité</t>
  </si>
  <si>
    <t>Pilotage de la performance niveau « Expert » - Lean / Lean Six Sigma Black Belt</t>
  </si>
  <si>
    <t>Pilote de chantier de transformation</t>
  </si>
  <si>
    <t>Ressources humaines</t>
  </si>
  <si>
    <t>Accompagnement à la mobilité professionnelle</t>
  </si>
  <si>
    <t>Heliofelis</t>
  </si>
  <si>
    <t>Apprendre à apprendre à l'ère du digital</t>
  </si>
  <si>
    <t>Certificat activité de médiation</t>
  </si>
  <si>
    <t>Ecole professionnelle de la médiation et de la négociation Médiateurs Associés</t>
  </si>
  <si>
    <t>Certificat de maitrise de la solution logicielle de gestion des ressources humaines, FRONT RH</t>
  </si>
  <si>
    <t>Certificat de maîtrise de la solution logicielle de Gestion des Ressources Humaines, YourCegid RH Y2</t>
  </si>
  <si>
    <t>Certificat en recrutement et sourcing</t>
  </si>
  <si>
    <t>Link Humans</t>
  </si>
  <si>
    <t>Certificat relations sociales</t>
  </si>
  <si>
    <t>Certification à la pratique de la médiation en entreprise</t>
  </si>
  <si>
    <t>Institut français de la médiation</t>
  </si>
  <si>
    <t>Certification en coaching de visiteurs médicaux de l'industrie pharmaceutique</t>
  </si>
  <si>
    <t>Compétences coaching et management</t>
  </si>
  <si>
    <t>CP FFP management des ressources humaines</t>
  </si>
  <si>
    <t>Détecter et développer les talents</t>
  </si>
  <si>
    <t>Développer son leadership</t>
  </si>
  <si>
    <t>Digital RH</t>
  </si>
  <si>
    <t>DU médiation et gestion des conflits</t>
  </si>
  <si>
    <t>Évaluation de compétences professionnelles</t>
  </si>
  <si>
    <t>CPNE de la métallurgie, CPNE de l'industrie textile, CPNE de l'intersecteurs papiers-cartons, CPNE des industries de santé</t>
  </si>
  <si>
    <t>Évaluer les talents managériaux</t>
  </si>
  <si>
    <t>Expertise en protection sociale</t>
  </si>
  <si>
    <t>Institut des Carrières Européennes de l'Expertise - Finance Formation (ICEE - FF)</t>
  </si>
  <si>
    <t>Gérer administrativement le personnel intérimaire</t>
  </si>
  <si>
    <t>Gérer les salariés en mobilité internationale</t>
  </si>
  <si>
    <t>Gestion administrative du personnel</t>
  </si>
  <si>
    <t>Gestion des ressources humaines - CP FFP</t>
  </si>
  <si>
    <t>Gestion du stress et du bien-être professionnel</t>
  </si>
  <si>
    <t>Gestion du temps à l'ère du digital</t>
  </si>
  <si>
    <t>La Paie en Entreprise</t>
  </si>
  <si>
    <t>L'entretien annuel et l'entretien professionnel</t>
  </si>
  <si>
    <t>Les fondamentaux des ressources humaines</t>
  </si>
  <si>
    <t>CP Formation</t>
  </si>
  <si>
    <t>Les techniques de recrutement</t>
  </si>
  <si>
    <t>Management des ressources humaines</t>
  </si>
  <si>
    <t>Management intermédiaire des remontées mécaniques et domaines skiables</t>
  </si>
  <si>
    <t>Manager et Développer les Ressources Humaines</t>
  </si>
  <si>
    <t>Mise en place d'une démarche RH avec la GPEC (Gestion prévisionnelle des emplois et des compétences)</t>
  </si>
  <si>
    <t>Pilotage des relations sociales</t>
  </si>
  <si>
    <t>Prise de parole en public</t>
  </si>
  <si>
    <t>Recruter des salariés intérimaires</t>
  </si>
  <si>
    <t>Type de personnalité et cohésion d'équipe</t>
  </si>
  <si>
    <t>Osiris Conseil</t>
  </si>
  <si>
    <t>Sans objet</t>
  </si>
  <si>
    <t>Management de la qualité des services intellectuels du prestataire</t>
  </si>
  <si>
    <t>Institut de Certification des Professionnels de la Formation et de la Prestation de Services Intellectuels</t>
  </si>
  <si>
    <t>PASS Créa</t>
  </si>
  <si>
    <t>Sodesi</t>
  </si>
  <si>
    <t>Santé, secteur sanitaire</t>
  </si>
  <si>
    <t>Auditeur ICA Laboratoires de biologie médicale</t>
  </si>
  <si>
    <t>Certificat de capacité à la médiation animale auprès des personnes âgées</t>
  </si>
  <si>
    <t>Institut Français de Zoothérapie</t>
  </si>
  <si>
    <t>Certificat d'enseignement médical de niveau I</t>
  </si>
  <si>
    <t>Certificat d'enseignement médical de niveau II</t>
  </si>
  <si>
    <t>Certificat d'enseignement médical de niveau III</t>
  </si>
  <si>
    <t>Certification accompagnement de personnes atteintes de la maladie d'Alzheimer ou de troubles apparentés à domicile (ESA, SSIAD, SPASAD)</t>
  </si>
  <si>
    <t>Fondation Mederic Alzheimer</t>
  </si>
  <si>
    <t>Certification accompagnement de personnes atteintes de la maladie d'Alzheimer ou de troubles apparentés à l'hôpital (SLD, UCC, UHR, SSR Alzheimer)</t>
  </si>
  <si>
    <t>Certification accompagnement de personnes atteintes de la maladie d'Alzheimer ou de troubles apparentés en EHPAD</t>
  </si>
  <si>
    <t>Certification accompagnement de personnes atteintes de la maladie d'Alzheimer ou de troubles apparentés en unité spécifique (PASA, Accueil de jour, Unité Spécifique Alzheimer)</t>
  </si>
  <si>
    <t>Certification gestion des risques qualité dans les industries de santé</t>
  </si>
  <si>
    <t>DU épuration extra-rénale / hémodialyse</t>
  </si>
  <si>
    <t>Ministère de l'enseignement supérieur, de la recherche et de l'innovation, Université de technologie de Compiègne (UTC)</t>
  </si>
  <si>
    <t>DU systèmes d'information et logistiques hospitaliers</t>
  </si>
  <si>
    <t>Formation des intervenants dans les programmes d'éducation thérapeutique</t>
  </si>
  <si>
    <t>Université Paul Sabatier - Toulouse 3</t>
  </si>
  <si>
    <t>Le Passeport Gériatrique : accompagnement et soins de la personne âgée</t>
  </si>
  <si>
    <t>Formadep - Korian Academy</t>
  </si>
  <si>
    <t>Référent "Accompagnateur de Fin de Vie"</t>
  </si>
  <si>
    <t>Chambres de commerce et d'industrie (CCI), Institut de formation pharmacie-santé</t>
  </si>
  <si>
    <t>Transport de sang et produits dérivés</t>
  </si>
  <si>
    <t>Acquis Pro</t>
  </si>
  <si>
    <t>Science politique</t>
  </si>
  <si>
    <t>Certificat de développement culturel des territoires</t>
  </si>
  <si>
    <t>Observatoire des politiques culturelles</t>
  </si>
  <si>
    <t>Certificat de développement de projets culture et jeunesse</t>
  </si>
  <si>
    <t>Certificat de développement des cultures numériques</t>
  </si>
  <si>
    <t>Construire un projet européen à dimension culturelle</t>
  </si>
  <si>
    <t>Cycle des Hautes Etudes pour le Développement Economique (CHEDE)</t>
  </si>
  <si>
    <t>Ministère de l'économie et des finances, Institut de la gestion publique et du développement économique</t>
  </si>
  <si>
    <t>Maîtrise des enjeux et gestion des risques à l'international</t>
  </si>
  <si>
    <t>Institut FMES</t>
  </si>
  <si>
    <t>Sciences de la terre</t>
  </si>
  <si>
    <t>ArcGIS for Desktop - Associate</t>
  </si>
  <si>
    <t>Esri France</t>
  </si>
  <si>
    <t>Sciences humaines</t>
  </si>
  <si>
    <t>Accompagnement individuel et collectif par l'approche systémique</t>
  </si>
  <si>
    <t>Elantiel</t>
  </si>
  <si>
    <t>Formation civile et civique</t>
  </si>
  <si>
    <t>Centre universitaire de formation et de recherche de Mayotte, Facultés libres de l'Ouest, Institut catholique de Lille, Institut catholique de Lyon, Institut catholique de Paris, Institut catholique de Toulouse, Institut d'études politiques (Sciences Po) d'Aix-en-Provence / Université d'Aix-Marseille, Université de Bordeaux, Université de La Réunion, Université de Lorraine, Université de Montpellier, Université de Nantes, Université de Strasbourg, Université Jean Moulin - Lyon 3, Université Lille 2 droit et santé, Université Nice Sophia Antipolis, Université Panthéon Sorbonne - Paris 1, Université Paris-Sud - Paris 11, Université Rennes 1, Université Toulouse 1 Capitole</t>
  </si>
  <si>
    <t>Référent cybersécurité en TPE/PME</t>
  </si>
  <si>
    <t>Traiter une problématique éthique</t>
  </si>
  <si>
    <t>Services divers</t>
  </si>
  <si>
    <t>Airbrush</t>
  </si>
  <si>
    <t>Make up for ever academy</t>
  </si>
  <si>
    <t>Beauty basics 1</t>
  </si>
  <si>
    <t>Beauty basics 2</t>
  </si>
  <si>
    <t>Black Beauty</t>
  </si>
  <si>
    <t>Blessures et patines</t>
  </si>
  <si>
    <t>Certificat de prothésiste ongulaire</t>
  </si>
  <si>
    <t>Student Nails Academy</t>
  </si>
  <si>
    <t>Certificat prévention secours propreté agent de service (CPS Propreté Agent de service)</t>
  </si>
  <si>
    <t>CPNE de la propreté</t>
  </si>
  <si>
    <t>Certificat prévention secours propreté chef d'équipe (CPS Propreté Chef d'équipe)</t>
  </si>
  <si>
    <t>Certificat stylisme ongulaire</t>
  </si>
  <si>
    <t>Centre de formation des pieds des mains</t>
  </si>
  <si>
    <t>Coiffures et attaches</t>
  </si>
  <si>
    <t>Toupie MakeUp</t>
  </si>
  <si>
    <t>Dermopigmentation</t>
  </si>
  <si>
    <t>Styliderm</t>
  </si>
  <si>
    <t>DIE en Apidologie et Pathologie Apicole</t>
  </si>
  <si>
    <t>Ecole nationale vétérinaire, agroalimentaire et de l'alimentation, Nantes-Atlantique (ONIRIS)</t>
  </si>
  <si>
    <t>Formation destinée aux personnes concevant ou réalisant des procédures expérimentales chirurgicales</t>
  </si>
  <si>
    <t>Directions départementales de la protection des populations (DDPP)</t>
  </si>
  <si>
    <t>Formation nécessaire aux personnes exerçant des activités liées aux animaux de compagnie d'espèces domestiques</t>
  </si>
  <si>
    <t>Formation pour les personnels appliquant des procédures expérimentales aux animaux - Praticiens</t>
  </si>
  <si>
    <t>Formation pour les personnels assurant les soins aux animaux - soins aux animaux d'expérimentation</t>
  </si>
  <si>
    <t>Ministère de l'agriculture et de l'alimentation, Ecole nationale vétérinaire, agroalimentaire et de l'alimentation, Nantes-Atlantique (ONIRIS)</t>
  </si>
  <si>
    <t>Formation pour les personnels concevant des procédures expérimentales et des projets - Concepteurs</t>
  </si>
  <si>
    <t>Formation préalable à l'obtention de l'habilitation sanitaire</t>
  </si>
  <si>
    <t>Habilitation hygiène et salubrité</t>
  </si>
  <si>
    <t>Ecole internationale de maquillage permanent</t>
  </si>
  <si>
    <t>Les clefs de la mise en beauté</t>
  </si>
  <si>
    <t>Beauté Partner</t>
  </si>
  <si>
    <t>Maîtrise des Compétences Clés de la Propreté (MCCP)</t>
  </si>
  <si>
    <t>Makeup no-makeup</t>
  </si>
  <si>
    <t>Maquillage enfant</t>
  </si>
  <si>
    <t>Maquillage HD, UHD OU 4K</t>
  </si>
  <si>
    <t>Maquillage mariée</t>
  </si>
  <si>
    <t>Maquillage naturel, maquillage sophistiqué</t>
  </si>
  <si>
    <t>Oriental Beauty</t>
  </si>
  <si>
    <t>Postiches</t>
  </si>
  <si>
    <t>Spécialisation chignons</t>
  </si>
  <si>
    <t>Taille et entretien de la barbe</t>
  </si>
  <si>
    <t>Télécommunication</t>
  </si>
  <si>
    <t>Audiovisuel sur IP</t>
  </si>
  <si>
    <t>CCTT "Certified Cabling Test Technician" Copper &amp;Fiber FLUKE Networks</t>
  </si>
  <si>
    <t>AFEIR communications</t>
  </si>
  <si>
    <t>Certification Cisco CCDA - Cisco Certified Design Associate</t>
  </si>
  <si>
    <t>Cisco Systems</t>
  </si>
  <si>
    <t>Certification Cisco CCDP - Cisco Certified Design Professional</t>
  </si>
  <si>
    <t>Certification Cisco CCENT - Cisco Certified Entry Network Technician</t>
  </si>
  <si>
    <t>Certification Cisco CCNA Collaboration - Cisco Certified Network Associate</t>
  </si>
  <si>
    <t>Certification Cisco CCNA Datacenter - Cisco Certified Network Associate</t>
  </si>
  <si>
    <t>Certification Cisco CCNA Routing &amp; Switching (R&amp;S) - Cisco Certified Network Associate</t>
  </si>
  <si>
    <t>Certification Cisco CCNA Security - Cisco Certified Network Associate</t>
  </si>
  <si>
    <t>Certification Cisco CCNA Service Provider - Cisco Certified Network Associate</t>
  </si>
  <si>
    <t>Certification Cisco CCNA Wireless - Cisco Certified Network Associate</t>
  </si>
  <si>
    <t>Certification Cisco CCNP Collaboration - Cisco Certified Network Professional</t>
  </si>
  <si>
    <t>Certification Cisco CCNP DataCenter - Cisco Certified Network Professional</t>
  </si>
  <si>
    <t>Certification Cisco CCNP Routing &amp; Switching (R&amp;S) - Cisco Certified Network Professional</t>
  </si>
  <si>
    <t>Certification Cisco CCNP Security - Cisco Certified Network Professional</t>
  </si>
  <si>
    <t>Certification Cisco CCNP Service Provider - Cisco Certified Network Professional</t>
  </si>
  <si>
    <t>Certification Cisco CCNP Wireless - Cisco Certified Network Professional</t>
  </si>
  <si>
    <t>Certification Citrix CCA-M - Citrix Certified Associate Mobility</t>
  </si>
  <si>
    <t>Citrix</t>
  </si>
  <si>
    <t>Certification Citrix CCA-N - Citrix Certified Associate Networking</t>
  </si>
  <si>
    <t>Certification Citrix CCA-V - Citrix Certified ASSOCIATE Virtualization</t>
  </si>
  <si>
    <t>Certification Citrix CCP-N - Citrix Certified Professional Networking</t>
  </si>
  <si>
    <t>Certification Citrix CCP-V - Citrix Certified Professional Virtualization</t>
  </si>
  <si>
    <t>Certification IT - Mise en oeuvre d'un réseau local TCP/IP</t>
  </si>
  <si>
    <t>Certified Stormshield Network Administrator (CSNA)</t>
  </si>
  <si>
    <t>Stormshield</t>
  </si>
  <si>
    <t>Certified Stormshield Network Expert (CSNE)</t>
  </si>
  <si>
    <t>Certified Stormshield Network Troubleshooting and Support (CSNTS)</t>
  </si>
  <si>
    <t>Concepteur d'un système d'Objets Connectés</t>
  </si>
  <si>
    <t>Conception et architecture de services 4.0</t>
  </si>
  <si>
    <t>Conception-urbanisation de salles informatiques - Data Center</t>
  </si>
  <si>
    <t>Cella Consilium - Hoc Info</t>
  </si>
  <si>
    <t>Gestion de projet déploiement LAN et Datacenter</t>
  </si>
  <si>
    <t>HP ATP - FlexNetwork Solutions V3</t>
  </si>
  <si>
    <t>Hewlett Packard Enterprise</t>
  </si>
  <si>
    <t>HP ATP - Server Solutions V2</t>
  </si>
  <si>
    <t>Ingénierie des réseaux mobiles</t>
  </si>
  <si>
    <t>Installation et gestion d'un réseau informatique pour l'audiovisuel</t>
  </si>
  <si>
    <t>Internet des objets (IoT), conception de solutions</t>
  </si>
  <si>
    <t>Télécom SudParis, Télécom ParisTech</t>
  </si>
  <si>
    <t>Mise en oeuvre de la sécurité numérique (DU)</t>
  </si>
  <si>
    <t>Université de technologie de Troyes (UTT), Ecole pour l'informatique et les techniques avancées (EPITA)</t>
  </si>
  <si>
    <t>Raccordement FTTH D3 et Aérien</t>
  </si>
  <si>
    <t>Tourisme</t>
  </si>
  <si>
    <t>Certification professionnelle relation de service tourisme</t>
  </si>
  <si>
    <t>Certidev, CPNE de la restauration commerciale libre-service (cafétérias), CPNE des casinos, CPNE des industries hôtelières</t>
  </si>
  <si>
    <t>Utilisation et maîtrise des fonctions du GDS Amadeus</t>
  </si>
  <si>
    <t>Amadeus France</t>
  </si>
  <si>
    <t>Transport</t>
  </si>
  <si>
    <t>11.4 Formation périodique imagerie</t>
  </si>
  <si>
    <t>ADR - Conseiller à la sécurité - Transport de matières dangereuses</t>
  </si>
  <si>
    <t>ADR - Formation conducteurs - Transport de matières dangereuses - Formation de base initiale</t>
  </si>
  <si>
    <t>ADR - Formation conducteurs - Transport de matières dangereuses - Formation de base recyclage</t>
  </si>
  <si>
    <t>ADR - Formation conducteurs - Transport de matières dangereuses - Spécialisation citernes initiale</t>
  </si>
  <si>
    <t>ADR - Formation conducteurs - Transport de matières dangereuses - Spécialisation citernes recyclage</t>
  </si>
  <si>
    <t>ADR - Formation conducteurs - Transport de matières dangereuses - Spécialisation citernes recyclage adaptée</t>
  </si>
  <si>
    <t>ADR - Formation conducteurs - Transport de matières dangereuses - Spécialisation citernes restreinte GPL initiale</t>
  </si>
  <si>
    <t>ADR - Formation conducteurs - Transport de matières dangereuses - Spécialisation citernes restreinte GPL recyclage</t>
  </si>
  <si>
    <t>ADR - Formation conducteurs - Transport de matières dangereuses - Spécialisation citernes restreinte produits pétroliers initiale</t>
  </si>
  <si>
    <t>ADR - Formation conducteurs - Transport de matières dangereuses - Spécialisation citernes restreinte produits pétroliers recyclage</t>
  </si>
  <si>
    <t>ADR - Formation conducteurs - Transport de matières dangereuses - Spécialisation classe 1 initiale</t>
  </si>
  <si>
    <t>ADR - Formation conducteurs - Transport de matières dangereuses - Spécialisation classe 1 recyclage</t>
  </si>
  <si>
    <t>ADR - Formation conducteurs - Transport de matières dangereuses - Spécialisation classe 7</t>
  </si>
  <si>
    <t>Agent AFIS (Aerodrom Flight Information Service)</t>
  </si>
  <si>
    <t>Agent péril animalier</t>
  </si>
  <si>
    <t>Assister la fonction douane</t>
  </si>
  <si>
    <t>Office de développement par l'automatisation et la simplification du commerce extérieur</t>
  </si>
  <si>
    <t>Assister la fonction douane, spécialité accises</t>
  </si>
  <si>
    <t>Assister la fonction douanes, spécialité export control</t>
  </si>
  <si>
    <t>Attestation complémentaire de conducteur de train</t>
  </si>
  <si>
    <t>Attestation de capacité professionnelle du transport fluvial</t>
  </si>
  <si>
    <t>Ministère de la transition écologique et solidaire, Voies navigables de France (VNF)</t>
  </si>
  <si>
    <t>Attestation de capacité professionnelle en transport léger de marchandises</t>
  </si>
  <si>
    <t>Direction générale des infrastructures, des transports et de la mer</t>
  </si>
  <si>
    <t>Attestation de capacité professionnelle en transport routier de marchandises</t>
  </si>
  <si>
    <t>Attestation de capacité professionnelle en transport routier de personnes</t>
  </si>
  <si>
    <t>Attestation de capacité professionnelle en transport routier de personnes avec des véhicules n'excédant pas neuf places, y compris le conducteur</t>
  </si>
  <si>
    <t>Attestation de capacité professionnelle permettant l'exercice de la profession de commissionnaire de transport</t>
  </si>
  <si>
    <t>Attestation de familiarisation à la sécurité</t>
  </si>
  <si>
    <t>Attestation de familiarisation à la sûreté</t>
  </si>
  <si>
    <t>Attestation de formation à I'utilisation des cartes électroniques "ECDIS"</t>
  </si>
  <si>
    <t>Attestation de formation à la direction et au travail en équipe ainsi qu'à la gestion des ressources à la passerelle</t>
  </si>
  <si>
    <t>Attestation de formation à la direction et au travail en équipe ainsi qu'à la gestion des ressources à la passerelle et à la machine</t>
  </si>
  <si>
    <t>Attestation de formation à l'encadrement des passagers</t>
  </si>
  <si>
    <t>Attestation de formation aux opérations de lavage au pétrole brut</t>
  </si>
  <si>
    <t>Attestation de formation complémentaire à la gestion des ressources à la machine</t>
  </si>
  <si>
    <t>Attestation de formation en matière de sécurité à I'intention du personnel assurant directement un service aux passagers</t>
  </si>
  <si>
    <t>Attestation de formation en matière de sécurité des passagers et de la cargaison et d'intégrité de la coque</t>
  </si>
  <si>
    <t>Attestation de qualification à la direction des opérations de lavage au pétrole brut</t>
  </si>
  <si>
    <t>Attestation de qualification pour le service à bord des engins à grande vitesse</t>
  </si>
  <si>
    <t>Attestation spéciale passagers</t>
  </si>
  <si>
    <t>Attestation spéciale Radar</t>
  </si>
  <si>
    <t>Auxiliaire ambulancier</t>
  </si>
  <si>
    <t>Direction générale de la santé</t>
  </si>
  <si>
    <t>BASICS of Supply Chain Management</t>
  </si>
  <si>
    <t>APICS, MGCM</t>
  </si>
  <si>
    <t>CARD-PRO : Certificat d'Aptitude Routière aux Déplacements Professionnels</t>
  </si>
  <si>
    <t>Association CENTAURE</t>
  </si>
  <si>
    <t>CCA (Cabin Crew attestation)</t>
  </si>
  <si>
    <t>Certificat d'aptitude à la sécurité de la conduite de véhicule 4x4 de type tout-terrain en milieu spécifique de montagne</t>
  </si>
  <si>
    <t>Certificat d'aptitude à la sécurité de la conduite de véhicule motoneige en milieu professionnel de montagne - option luge</t>
  </si>
  <si>
    <t>Certificat d'aptitude à l'exploitation des canots de secours rapide</t>
  </si>
  <si>
    <t>Certificat d'aptitude à l'hyperbarie</t>
  </si>
  <si>
    <t>Certificat d'aptitude aux fonctions d'agent de sûreté du navire</t>
  </si>
  <si>
    <t>Ministère de la transition écologique et solidaire, Direction des affaires maritimes</t>
  </si>
  <si>
    <t>Certificat de capacité de catégorie PA</t>
  </si>
  <si>
    <t>Certificat de capacité de catégorie PB</t>
  </si>
  <si>
    <t>Certificat de capacité de catégorie PC</t>
  </si>
  <si>
    <t>Certificat de capacité de conduite des bateaux de commerce du groupe A</t>
  </si>
  <si>
    <t>Certificat de capacité de conduite des bateaux de commerce du groupe B</t>
  </si>
  <si>
    <t>Certificat de compétence pour le transport d'animaux vivants (CAPTAV)</t>
  </si>
  <si>
    <t>Certificat de formation avancée aux opérations liées à la cargaison des navires-citernes pour gaz liquéfiés</t>
  </si>
  <si>
    <t>Certificat de formation avancée aux opérations liées à la cargaison des navires-citernes pour produits chimiques</t>
  </si>
  <si>
    <t>Certificat de formation avancée aux opérations liées à la cargaison des pétroliers</t>
  </si>
  <si>
    <t>Certificat de formation avancée pour le service à bord de navires soumis au recueil IGF</t>
  </si>
  <si>
    <t>Ecole nationale supérieure maritime</t>
  </si>
  <si>
    <t>Certificat de formation avancée pour les navires exploités dans les eaux polaires</t>
  </si>
  <si>
    <t>Ministère de la transition écologique et solidaire, Ecole nationale supérieure maritime</t>
  </si>
  <si>
    <t>Certificat de formation de base à la sécurité</t>
  </si>
  <si>
    <t>Certificat de formation de base aux opérations liées à la cargaison des navires-citernes pour gaz liquéfiés</t>
  </si>
  <si>
    <t>Certificat de formation de base aux opérations liées à la cargaison des pétroliers et des navires-citernes pour produits chimiques</t>
  </si>
  <si>
    <t>Certificat de formation de base pour le service à bord de navires soumis au recueil IGF</t>
  </si>
  <si>
    <t>Certificat de formation de base pour les navires exploités dans les eaux polaires</t>
  </si>
  <si>
    <t>Certificat de formation spécifique à la sûreté</t>
  </si>
  <si>
    <t>Certificat de qualification à la conduite des engins à grande vitesse</t>
  </si>
  <si>
    <t>Certificat de radioélectronicien de 1ère classe</t>
  </si>
  <si>
    <t>Certificat de sensibilisation à la sûreté</t>
  </si>
  <si>
    <t>Certificat d'initiation nautique</t>
  </si>
  <si>
    <t>Certificat général d'opérateur</t>
  </si>
  <si>
    <t>Certificat restreint de radiotéléphoniste du service mobile maritime</t>
  </si>
  <si>
    <t>Certificat restreint d'opérateur</t>
  </si>
  <si>
    <t>Certificat spécial d'opérateur</t>
  </si>
  <si>
    <t>Certification "Perfectionnement transport, logistique et supply chain pour les coopératives agricoles et leurs filiales"</t>
  </si>
  <si>
    <t>Certification Convoyeur de greffons de CSH</t>
  </si>
  <si>
    <t>Agence de la biomédecine</t>
  </si>
  <si>
    <t>Chef de cabine</t>
  </si>
  <si>
    <t>Chef de manoeuvre du SSLIA (service de sauvetage et de lutte contre l'incendie des aéronefs sur les aérodromes)</t>
  </si>
  <si>
    <t>CPIM (Certified in Production and Inventory Management) de l'APICS</t>
  </si>
  <si>
    <t>CRI (class rating instructor) Instructeur de qualification de classe</t>
  </si>
  <si>
    <t>CSCP (Certified Supply Chain Professional) de l'APICS</t>
  </si>
  <si>
    <t>Essentiel du management des flux (EMF)</t>
  </si>
  <si>
    <t>MGCM</t>
  </si>
  <si>
    <t>Examen d'accès à la profession de conducteur de voiture de transport avec chauffeur (VTC)</t>
  </si>
  <si>
    <t>FE - Examinateur de vol</t>
  </si>
  <si>
    <t>FI Instructeur de vol</t>
  </si>
  <si>
    <t>Fondamentaux du Management Industriel et Logistique</t>
  </si>
  <si>
    <t>CPNE des industries de santé, CPNE des bureaux d'études techniques, cabinets d'ingénieurs conseils et sociétés de conseils</t>
  </si>
  <si>
    <t>Formation au système de visualisation des cartes électroniques et d'information (ECDIS)</t>
  </si>
  <si>
    <t>Formation au transport routier d'animaux vivants (autres que les ongulés domestiques et volailles)</t>
  </si>
  <si>
    <t>Formation avancée à la haute tension à bord des navires</t>
  </si>
  <si>
    <t>Formation complémentaire « passerelle » - transport de marchandises</t>
  </si>
  <si>
    <t>Directions régionales de l'environnement, de l'aménagement et du logement</t>
  </si>
  <si>
    <t>Formation complémentaire « passerelle » - transport de voyageurs</t>
  </si>
  <si>
    <t>Formation continue à l'animation des stages de sensibilisation à la sécurité routière destinés aux conducteurs infractionnistes</t>
  </si>
  <si>
    <t>Formation continue obligatoire (FCO) - transport de marchandises</t>
  </si>
  <si>
    <t>Formation continue obligatoire (FCO) - transport de voyageurs</t>
  </si>
  <si>
    <t>Formation d'actualisation des connaissances du gestionnaire de transport titulaire d'une attestation de capacité en transport routier de personnes</t>
  </si>
  <si>
    <t>Formation d'actualisation des connaissances du gestionnaire de transport titulaire d'une attestation de capacité en transport routier de personnes avec des véhicules n'excédant pas neuf places, y compris le conducteur</t>
  </si>
  <si>
    <t>Formation d'actualisation des connaissances du gestionnaire de transport titulaire d'une attestation de capacité en transport routier léger de marchandises</t>
  </si>
  <si>
    <t>Formation d'actualisation des connaissances du gestionnaire de transport titulaire d'une attestation de capacité en transport routier lourd de marchandises</t>
  </si>
  <si>
    <t>Formation de base à la haute tension à bord des navires</t>
  </si>
  <si>
    <t>Formation des conducteurs de véhicules de guidage des transports exceptionnels</t>
  </si>
  <si>
    <t>Formation initiale à l'animation des stages de sensibilisation à la sécurité routière destinée aux conducteurs infractionnistes</t>
  </si>
  <si>
    <t>Formation initiale minimale obligatoire (FIMO) - transport de marchandises</t>
  </si>
  <si>
    <t>Formation initiale minimale obligatoire (FIMO) - transport de voyageurs</t>
  </si>
  <si>
    <t>Formation marchandises dangereuses catégorie 10 Arrimeurs et répartiteurs de charges OACI (Organisation de l'Aviation Civile Internationale)</t>
  </si>
  <si>
    <t>Formation marchandises dangereuses catégorie 10 Membres d'équipage de conduite OACI (Organisation de l'Aviation Civile Internationale)</t>
  </si>
  <si>
    <t>Formation marchandises dangereuses catégorie 11 OACI (Organisation de l'Aviation Civile Internationale)</t>
  </si>
  <si>
    <t>Formation marchandises dangereuses catégorie 12 OACI (Organisation de l'Aviation Civile Internationale)</t>
  </si>
  <si>
    <t>Formation marchandises dangereuses catégorie 13 OACI (Organisation de l'Aviation Civile Internationale)</t>
  </si>
  <si>
    <t>Formation marchandises dangereuses catégorie 14 OACI (Organisation de l'Aviation Civile Internationale)</t>
  </si>
  <si>
    <t>Formation marchandises dangereuses catégorie 15 OACI (Organisation de l'Aviation Civile Internationale)</t>
  </si>
  <si>
    <t>Formation marchandises dangereuses catégorie 16 OACI arrimeurs et Répartiteurs de charge (Organisation de l'Aviation Civile Internationale)</t>
  </si>
  <si>
    <t>Formation marchandises dangereuses catégorie 16 OACI Membres d'équipage de conduite (Organisation de l'Aviation Civile Internationale)</t>
  </si>
  <si>
    <t>Formation marchandises dangereuses catégorie 17 OACI (Organisation de l'Aviation Civile Internationale)</t>
  </si>
  <si>
    <t>Formation marchandises dangereuses catégorie 6 OACI</t>
  </si>
  <si>
    <t>Formation marchandises dangereuses catégorie 7 OACI (Organisation de l'Aviation Civile Internationale)</t>
  </si>
  <si>
    <t>Formation marchandises dangereuses catégorie 8 OACI (Organisation de l'Aviation Civile Internationale)</t>
  </si>
  <si>
    <t>Formation marchandises dangereuses catégorie 9 OACI (Organisation de l'Aviation Civile Internationale)</t>
  </si>
  <si>
    <t>Formation préparatoire à l'examen d'attestation de capacité professionnelle permettant l'exercice de la profession de transporteur public routier de personnes à l'aide de tous véhicules de transport de personnes</t>
  </si>
  <si>
    <t>Formation professionnelle continue des conducteurs de véhicules de protection (FCP) des transports exceptionnels</t>
  </si>
  <si>
    <t>Formation professionnelle initiale des conducteurs de véhicules de protection (FIP) des transports exceptionnels</t>
  </si>
  <si>
    <t>Formation propre à un type d'aéronef ( personnel de cabine)</t>
  </si>
  <si>
    <t>Fournisseur de données aéronautiques</t>
  </si>
  <si>
    <t>Gérer la fonction douane</t>
  </si>
  <si>
    <t>Gérer la fonction douane, spécialité accises</t>
  </si>
  <si>
    <t>Gérer la fonction douane, spécialité export control</t>
  </si>
  <si>
    <t>Habilitation aux tâches essentielles de sécurité ferroviaires autres que la conduite des trains</t>
  </si>
  <si>
    <t>Habilitation Tramway et autres systèmes de transport guidé</t>
  </si>
  <si>
    <t>IR (Instruments rating) : partie pratique</t>
  </si>
  <si>
    <t>IR (Instruments rating) qualification aux instruments : partie théorique</t>
  </si>
  <si>
    <t>IRE - Examinateur de vol aux instruments</t>
  </si>
  <si>
    <t>IRI (Instruments rating instructor) - Instructeur de qualification de vol aux instruments</t>
  </si>
  <si>
    <t>Licence de capitaine pilote</t>
  </si>
  <si>
    <t>Licence de conducteur de train</t>
  </si>
  <si>
    <t>Établissement public de sécurité ferroviaire</t>
  </si>
  <si>
    <t>Licence de mécanicien aéronautique B2</t>
  </si>
  <si>
    <t>Licence de mécanicien aéronautique B3</t>
  </si>
  <si>
    <t>Management de la supply chain</t>
  </si>
  <si>
    <t>Manager la fonction douane</t>
  </si>
  <si>
    <t>Manager la fonction douane, spécialité accises</t>
  </si>
  <si>
    <t>Manager la fonction douane, spécialité export control</t>
  </si>
  <si>
    <t>MCC (multicrew cooperation) formation au travail en équipage</t>
  </si>
  <si>
    <t>MCCI (multicrew cooperation instructeur) - Instructeur de travail en équipage</t>
  </si>
  <si>
    <t>MPL (multipilote license) - licence multipilote</t>
  </si>
  <si>
    <t>Parcours « Expert Signalisation / Communication »</t>
  </si>
  <si>
    <t>Ecole supérieure des techniques aéronautiques et construction automobile (ESTACA)</t>
  </si>
  <si>
    <t>Parcours « Signalisation / Communication »</t>
  </si>
  <si>
    <t>Parcours spécialisation douanes, accises ou export control</t>
  </si>
  <si>
    <t>Pilotage de drone industriel automatisé</t>
  </si>
  <si>
    <t>INSAVALOR</t>
  </si>
  <si>
    <t>Pilote de ligne (ATPL avion et hélicoptère)</t>
  </si>
  <si>
    <t>Pilote professionnel (CPL / avion et hélicoptère)</t>
  </si>
  <si>
    <t>Pompiers d'aérodrome - SSLIA (service de sauvetage et de lutte contre l'incendie des aéronefs sur les aérodromes)</t>
  </si>
  <si>
    <t>Qualification au transport d'animaux vivants</t>
  </si>
  <si>
    <t>Qualifications de classe et de type</t>
  </si>
  <si>
    <t>Responsable du service SSLIA (service de sauvetage et de lutte contre l'incendie des aéronefs sur les aérodromes)</t>
  </si>
  <si>
    <t>SFI (simulator flight instructor) Instructeur sur entraîneur synthétique de vol</t>
  </si>
  <si>
    <t>Stage d'adaptation de l'exploitant ( personnel de cabine) SADE</t>
  </si>
  <si>
    <t>Stage de formation à la fonction Commandant de Bord</t>
  </si>
  <si>
    <t>Sûreté de l'aviation civile - 11.2.2 - Formation de base</t>
  </si>
  <si>
    <t>Sûreté de l'aviation civile - 11.2.3.1 - Inspection filtrage des personnes, des bagages de cabine, des articles transportés et des bagages de soute</t>
  </si>
  <si>
    <t>Sûreté de l'aviation civile - 11.2.3.10 - contrôles de sûreté sur le courrier et le matériel des transporteurs aériens, les approvisionnements de bord et les fournitures d'aéroport, autres que l'inspection/le filtrage</t>
  </si>
  <si>
    <t>Sûreté de l'aviation civile - 11.2.3.2 - Inspection filtrage du fret et du courrier</t>
  </si>
  <si>
    <t>Sûreté de l'aviation civile - 11.2.3.3 - contrôle visuel et fouille manuelle du courrier et du matériel des transporteurs aériens, des approvisionnements de bord et des fournitures d'aéroport</t>
  </si>
  <si>
    <t>Sûreté de l'aviation civile - 11.2.3.3 - Inspection filtrage du courrier et du matériel des transporteurs aériens, des approvisionnements de bord et des fournitures d'aéroport</t>
  </si>
  <si>
    <t>Sûreté de l'aviation civile - 11.2.3.4 - Inspection des véhicules</t>
  </si>
  <si>
    <t>Sûreté de l'aviation civile - 11.2.3.5 - contrôles d'accès à un aéroport et opérations de surveillance et de patrouille</t>
  </si>
  <si>
    <t>Sûreté de l'aviation civile - 11.2.3.6 - fouilles de sûreté d'aéronefs</t>
  </si>
  <si>
    <t>Sûreté de l'aviation civile - 11.2.3.7 - protection des aéronefs</t>
  </si>
  <si>
    <t>Sûreté de l'aviation civile - 11.2.3.8 - vérification de concordance entre passagers et bagages</t>
  </si>
  <si>
    <t>Sûreté de l'aviation civile - 11.2.3.9 - contrôles de sûreté sur le fret et le courrier, autres que l'inspection/le filtrage ou accès à du fret ou du courrier aérien identifiable</t>
  </si>
  <si>
    <t>Sûreté de l'aviation civile - 11.2.4 - Formation spécifique des superviseurs</t>
  </si>
  <si>
    <t>Sûreté de l'aviation civile - 11.2.5 - gestionnaires de la sûreté</t>
  </si>
  <si>
    <t>Sûreté de l'aviation civile - 11.2.6.2 - formation des personnels autre que les passagers qui doivent bénéficier d'un accès sans escorte aux zones de sûreté à accès réglementé des aérodromes</t>
  </si>
  <si>
    <t>Sûreté de l'aviation civile - 11.2.7 - formation des personnes nécessitant une sensibilisation à la sûreté générale</t>
  </si>
  <si>
    <t>Sûreté de l'aviation civile - 11.4 - formation périodique sans imagerie</t>
  </si>
  <si>
    <t>Sûreté de l'aviation civile - 11.5 - formation initiale instructeur certifié</t>
  </si>
  <si>
    <t>Sûreté de l'aviation civile - 11.5 - formation périodique instructeur certifié</t>
  </si>
  <si>
    <t>Sûreté de l'aviation civile - 12.9 - formation initiale équipe cynotechnique</t>
  </si>
  <si>
    <t>Sûreté de l'aviation civile - 12.9 - formation périodique équipe cynotechnique</t>
  </si>
  <si>
    <t>TRE - examinateurs de qualification de type</t>
  </si>
  <si>
    <t>TRI (Type rating instructor) Instructeur de qualification de type</t>
  </si>
  <si>
    <t>Travail matériau, soudure</t>
  </si>
  <si>
    <t>Agent d'Inspection International en Soudage (IWIPS ou IWIPC)</t>
  </si>
  <si>
    <t>Institut de soudure - Ecole d'adaptation aux professions du soudage (EAPS)</t>
  </si>
  <si>
    <t>Certification " Mastercam - CFAO électro érosion par fil 2 à 4 axes "</t>
  </si>
  <si>
    <t>YP Technologie</t>
  </si>
  <si>
    <t>Certification " Mastercam - CFAO fraisage 2,5 axes "</t>
  </si>
  <si>
    <t>Certification " Mastercam - CFAO fraisage 3 axes "</t>
  </si>
  <si>
    <t>Certification " Mastercam - CFAO fraisage 5 axes simultanés "</t>
  </si>
  <si>
    <t>Certification " Mastercam - CFAO Modélisation 3D "</t>
  </si>
  <si>
    <t>Certification " Mastercam - CFAO Tournage 2 axes et axe C "</t>
  </si>
  <si>
    <t>Certification de l'Association pour la Certification et la Qualification en Peinture Anticorrosion (ACQPA) - Inspecteur</t>
  </si>
  <si>
    <t>Association pour la Certification et la Qualification en Peinture Anticorrosion</t>
  </si>
  <si>
    <t>Certification de l'Association pour la Certification et la Qualification en Peinture Anticorrosion (ACQPA) - Opérateurs Niveau 1 et Niveau 2</t>
  </si>
  <si>
    <t>Certification de l'Association pour la Certification et la Qualification en Peinture Anticorrosion (ACQPA) - Opérateurs Niveau 3</t>
  </si>
  <si>
    <t>Coordonnateur en soudage de structures métalliques en acier selon EN 1090-2 (EWCP)</t>
  </si>
  <si>
    <t>CPNE de la métallurgie, Institut de soudure</t>
  </si>
  <si>
    <t>Ingénieur International en soudage (IWE)</t>
  </si>
  <si>
    <t>Opérateurs et chargés de travaux en peinture anticorrosion sur pylônes de transport d'électricité</t>
  </si>
  <si>
    <t>EDF, Groupement des entrepreneurs de peinture industrielle</t>
  </si>
  <si>
    <t>Praticien International en Soudage (IWP)</t>
  </si>
  <si>
    <t>Institut de soudure</t>
  </si>
  <si>
    <t>Qualification braseur et opérateur braseur en brasage fort suivant la NF EN ISO 13585</t>
  </si>
  <si>
    <t>Qualification braseur et opérateur braseur en brasage pour système de réfrigération et pompes à chaleur suivant NF EN 14276-1 Annexe B</t>
  </si>
  <si>
    <t>Qualification de soudeur suivant ASME, section IX</t>
  </si>
  <si>
    <t>Qualification de soudeur suivant la norme ATG-B 527-9</t>
  </si>
  <si>
    <t>APAVE</t>
  </si>
  <si>
    <t>Qualification de soudeur suivant la norme ATG-B 540-9</t>
  </si>
  <si>
    <t>Qualification de soudeur suivant la norme NF EN ISO 9606-1 (anciennement NF EN 287-1)</t>
  </si>
  <si>
    <t>Qualification de soudeur suivant la norme NF EN ISO 9606-2 (anciennement NF EN 287-2)</t>
  </si>
  <si>
    <t>Qualification de soudeur suivant RCCM</t>
  </si>
  <si>
    <t>Qualification de soudeur sur cuivre suivant la norme NF EN ISO 9606-3</t>
  </si>
  <si>
    <t>Qualification de soudeur sur nickel suivant la norme NF EN ISO 9606-4</t>
  </si>
  <si>
    <t>Qualification de soudeur sur Titane ou zirconium suivant la norme NF EN ISO 9606-5</t>
  </si>
  <si>
    <t>Qualification de soudeurs et d'opérateurs pour applications aérospatiales suivant NF EN ISO 24394 (anciennement AIR 0191 )</t>
  </si>
  <si>
    <t>Qualification d'opérateur polyéthylène suivant la norme NF EN ISO 13067</t>
  </si>
  <si>
    <t>APAVE, ASAP, Bureau Veritas</t>
  </si>
  <si>
    <t>Qualification d'opérateur soudeur suivant la NF EN ISO 14732</t>
  </si>
  <si>
    <t>Réalisation d'assemblage permanent par soudage</t>
  </si>
  <si>
    <t>Soudeur International (IW)</t>
  </si>
  <si>
    <t>Spécialiste International en soudage (IWS)</t>
  </si>
  <si>
    <t>Technologue International en Soudage (IWT)</t>
  </si>
  <si>
    <t xml:space="preserve">Plus d'information sur le site de la CNCP : </t>
  </si>
  <si>
    <t>Actualités et base inventaire</t>
  </si>
  <si>
    <t>Source : Afdas à partir des informations transmises par la Caisse des dépôts et des consignations 
Mise à jour : 04/11/2018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</si>
</sst>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u/>
      <sz val="11"/>
      <color theme="10"/>
      <name val="Calibri"/>
      <family val="2"/>
      <scheme val="minor"/>
    </font>
    <font>
      <sz val="10"/>
      <color theme="1"/>
      <name val="Calibri"/>
      <family val="2"/>
      <scheme val="minor"/>
    </font>
    <font>
      <u/>
      <sz val="10"/>
      <color theme="10"/>
      <name val="Calibri"/>
      <family val="2"/>
      <scheme val="minor"/>
    </font>
    <font>
      <b/>
      <sz val="11"/>
      <color theme="0"/>
      <name val="Calibri"/>
      <family val="2"/>
      <scheme val="minor"/>
    </font>
    <font>
      <b/>
      <sz val="10"/>
      <color theme="0" tint="-0.499984740745262"/>
      <name val="Calibri"/>
      <family val="2"/>
      <scheme val="minor"/>
    </font>
    <font>
      <u/>
      <sz val="10"/>
      <color indexed="12"/>
      <name val="MS Sans Serif"/>
      <family val="2"/>
    </font>
    <font>
      <sz val="10"/>
      <name val="Calibri"/>
      <family val="2"/>
      <scheme val="minor"/>
    </font>
    <font>
      <sz val="10"/>
      <color theme="0" tint="-4.9989318521683403E-2"/>
      <name val="MS Sans Serif"/>
      <family val="2"/>
    </font>
    <font>
      <b/>
      <sz val="14"/>
      <color theme="0" tint="-4.9989318521683403E-2"/>
      <name val="Calibri"/>
      <family val="2"/>
    </font>
    <font>
      <b/>
      <sz val="12"/>
      <color theme="0" tint="-4.9989318521683403E-2"/>
      <name val="Calibri"/>
      <family val="2"/>
    </font>
  </fonts>
  <fills count="4">
    <fill>
      <patternFill patternType="none"/>
    </fill>
    <fill>
      <patternFill patternType="gray125"/>
    </fill>
    <fill>
      <patternFill patternType="solid">
        <fgColor theme="0"/>
        <bgColor indexed="64"/>
      </patternFill>
    </fill>
    <fill>
      <patternFill patternType="solid">
        <fgColor theme="9" tint="-0.249977111117893"/>
        <bgColor indexed="64"/>
      </patternFill>
    </fill>
  </fills>
  <borders count="4">
    <border>
      <left/>
      <right/>
      <top/>
      <bottom/>
      <diagonal/>
    </border>
    <border>
      <left/>
      <right style="thin">
        <color indexed="9"/>
      </right>
      <top/>
      <bottom/>
      <diagonal/>
    </border>
    <border>
      <left style="thin">
        <color indexed="9"/>
      </left>
      <right/>
      <top/>
      <bottom/>
      <diagonal/>
    </border>
    <border>
      <left style="thin">
        <color indexed="36"/>
      </left>
      <right style="thin">
        <color indexed="36"/>
      </right>
      <top style="thin">
        <color indexed="36"/>
      </top>
      <bottom style="thin">
        <color indexed="36"/>
      </bottom>
      <diagonal/>
    </border>
  </borders>
  <cellStyleXfs count="2">
    <xf numFmtId="0" fontId="0" fillId="0" borderId="0"/>
    <xf numFmtId="0" fontId="1" fillId="0" borderId="0" applyNumberFormat="0" applyFill="0" applyBorder="0" applyAlignment="0" applyProtection="0"/>
  </cellStyleXfs>
  <cellXfs count="20">
    <xf numFmtId="0" fontId="0" fillId="0" borderId="0" xfId="0"/>
    <xf numFmtId="0" fontId="2" fillId="0" borderId="3" xfId="0" applyFont="1" applyFill="1" applyBorder="1" applyAlignment="1">
      <alignment vertical="center" wrapText="1"/>
    </xf>
    <xf numFmtId="0" fontId="3" fillId="0" borderId="3" xfId="1" applyFont="1" applyFill="1" applyBorder="1" applyAlignment="1">
      <alignment horizontal="center" vertical="center" wrapText="1"/>
    </xf>
    <xf numFmtId="14" fontId="2" fillId="0" borderId="3" xfId="0" applyNumberFormat="1" applyFont="1" applyFill="1" applyBorder="1" applyAlignment="1" applyProtection="1">
      <alignment horizontal="center" vertical="center" wrapText="1"/>
    </xf>
    <xf numFmtId="0" fontId="2" fillId="0" borderId="3" xfId="0" applyFont="1" applyFill="1" applyBorder="1" applyAlignment="1">
      <alignment horizontal="center" vertical="center" wrapText="1"/>
    </xf>
    <xf numFmtId="0" fontId="0" fillId="0" borderId="0" xfId="0" applyAlignment="1">
      <alignment horizontal="center"/>
    </xf>
    <xf numFmtId="0" fontId="5" fillId="2" borderId="0" xfId="0" applyFont="1" applyFill="1" applyBorder="1" applyAlignment="1">
      <alignment horizontal="left" vertical="center" wrapText="1"/>
    </xf>
    <xf numFmtId="0" fontId="6" fillId="2" borderId="0" xfId="1" applyFont="1" applyFill="1" applyBorder="1" applyAlignment="1">
      <alignment horizontal="left" vertical="center"/>
    </xf>
    <xf numFmtId="0" fontId="7" fillId="2" borderId="0" xfId="0" applyFont="1" applyFill="1" applyBorder="1"/>
    <xf numFmtId="0" fontId="7" fillId="2" borderId="0" xfId="0" applyFont="1" applyFill="1" applyBorder="1" applyAlignment="1">
      <alignment horizontal="center" vertical="center"/>
    </xf>
    <xf numFmtId="0" fontId="8" fillId="2" borderId="0" xfId="0" applyFont="1" applyFill="1"/>
    <xf numFmtId="0" fontId="8" fillId="2" borderId="1" xfId="0" applyFont="1" applyFill="1" applyBorder="1"/>
    <xf numFmtId="0" fontId="9" fillId="2" borderId="2"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 xfId="0" applyFont="1" applyFill="1" applyBorder="1" applyAlignment="1">
      <alignment horizontal="center" vertical="center" wrapText="1"/>
    </xf>
    <xf numFmtId="0" fontId="10" fillId="2" borderId="2" xfId="0" applyFont="1" applyFill="1" applyBorder="1" applyAlignment="1">
      <alignment horizontal="right" vertical="center" wrapText="1"/>
    </xf>
    <xf numFmtId="0" fontId="8" fillId="2" borderId="0" xfId="0" applyFont="1" applyFill="1" applyAlignment="1">
      <alignment horizontal="right" vertical="center" wrapText="1"/>
    </xf>
    <xf numFmtId="0" fontId="5" fillId="2" borderId="0" xfId="0" applyFont="1" applyFill="1" applyBorder="1" applyAlignment="1">
      <alignment horizontal="left" vertical="center" wrapText="1"/>
    </xf>
    <xf numFmtId="0" fontId="5" fillId="2" borderId="0" xfId="0" applyFont="1" applyFill="1" applyBorder="1" applyAlignment="1">
      <alignment vertical="center" wrapText="1"/>
    </xf>
    <xf numFmtId="0" fontId="4" fillId="3" borderId="1" xfId="0" applyFont="1" applyFill="1" applyBorder="1" applyAlignment="1">
      <alignment horizontal="center" vertical="center" wrapText="1"/>
    </xf>
  </cellXfs>
  <cellStyles count="2">
    <cellStyle name="Lien hypertexte"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83127</xdr:colOff>
      <xdr:row>1</xdr:row>
      <xdr:rowOff>33251</xdr:rowOff>
    </xdr:from>
    <xdr:to>
      <xdr:col>1</xdr:col>
      <xdr:colOff>3592076</xdr:colOff>
      <xdr:row>4</xdr:row>
      <xdr:rowOff>731519</xdr:rowOff>
    </xdr:to>
    <xdr:pic>
      <xdr:nvPicPr>
        <xdr:cNvPr id="3" name="Picture 22">
          <a:extLst>
            <a:ext uri="{FF2B5EF4-FFF2-40B4-BE49-F238E27FC236}">
              <a16:creationId xmlns:a16="http://schemas.microsoft.com/office/drawing/2014/main" id="{D5F42E52-F1E3-4261-8504-D900C7D6FFA4}"/>
            </a:ext>
          </a:extLst>
        </xdr:cNvPr>
        <xdr:cNvPicPr>
          <a:picLocks noChangeAspect="1" noChangeArrowheads="1"/>
        </xdr:cNvPicPr>
      </xdr:nvPicPr>
      <xdr:blipFill>
        <a:blip xmlns:r="http://schemas.openxmlformats.org/officeDocument/2006/relationships" r:embed="rId1" cstate="print"/>
        <a:srcRect l="3033" t="26086" r="4875" b="13586"/>
        <a:stretch>
          <a:fillRect/>
        </a:stretch>
      </xdr:blipFill>
      <xdr:spPr bwMode="auto">
        <a:xfrm>
          <a:off x="83127" y="307571"/>
          <a:ext cx="5653633" cy="1122217"/>
        </a:xfrm>
        <a:prstGeom prst="rect">
          <a:avLst/>
        </a:prstGeom>
        <a:noFill/>
        <a:ln w="1">
          <a:noFill/>
          <a:miter lim="800000"/>
          <a:headEnd/>
          <a:tailEnd/>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cncp.gouv.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108"/>
  <sheetViews>
    <sheetView tabSelected="1" workbookViewId="0">
      <selection activeCell="B13" sqref="B13"/>
    </sheetView>
  </sheetViews>
  <sheetFormatPr baseColWidth="10" defaultColWidth="9.109375" defaultRowHeight="15.05" x14ac:dyDescent="0.3"/>
  <cols>
    <col min="1" max="1" width="28.6640625" customWidth="1"/>
    <col min="2" max="3" width="68.6640625" customWidth="1"/>
    <col min="4" max="4" width="10.6640625" style="5" customWidth="1"/>
    <col min="5" max="5" width="9.6640625" style="5" customWidth="1"/>
    <col min="6" max="7" width="11.6640625" style="5" customWidth="1"/>
  </cols>
  <sheetData>
    <row r="1" spans="1:7" s="8" customFormat="1" ht="21.6" customHeight="1" x14ac:dyDescent="0.25">
      <c r="A1" s="6"/>
      <c r="B1" s="7"/>
      <c r="D1" s="9"/>
    </row>
    <row r="2" spans="1:7" s="10" customFormat="1" ht="11.15" x14ac:dyDescent="0.2"/>
    <row r="3" spans="1:7" s="10" customFormat="1" ht="11.15" x14ac:dyDescent="0.2"/>
    <row r="4" spans="1:7" s="10" customFormat="1" ht="11.15" x14ac:dyDescent="0.2"/>
    <row r="5" spans="1:7" s="10" customFormat="1" ht="65" customHeight="1" x14ac:dyDescent="0.2">
      <c r="A5" s="11"/>
      <c r="B5" s="12"/>
      <c r="C5" s="13"/>
      <c r="D5" s="14"/>
      <c r="E5" s="15"/>
      <c r="F5" s="16"/>
    </row>
    <row r="6" spans="1:7" s="8" customFormat="1" ht="48.8" customHeight="1" x14ac:dyDescent="0.25">
      <c r="A6" s="17" t="s">
        <v>2677</v>
      </c>
      <c r="B6" s="17"/>
      <c r="C6" s="17"/>
      <c r="D6" s="18"/>
    </row>
    <row r="7" spans="1:7" s="8" customFormat="1" ht="33.049999999999997" customHeight="1" x14ac:dyDescent="0.25">
      <c r="A7" s="6" t="s">
        <v>2675</v>
      </c>
      <c r="B7" s="7" t="s">
        <v>2676</v>
      </c>
      <c r="D7" s="9"/>
    </row>
    <row r="8" spans="1:7" ht="65.150000000000006" customHeight="1" x14ac:dyDescent="0.3">
      <c r="A8" s="19" t="s">
        <v>0</v>
      </c>
      <c r="B8" s="19" t="s">
        <v>1</v>
      </c>
      <c r="C8" s="19" t="s">
        <v>2</v>
      </c>
      <c r="D8" s="19" t="s">
        <v>3</v>
      </c>
      <c r="E8" s="19" t="s">
        <v>4</v>
      </c>
      <c r="F8" s="19" t="s">
        <v>5</v>
      </c>
      <c r="G8" s="19" t="s">
        <v>6</v>
      </c>
    </row>
    <row r="9" spans="1:7" ht="26.2" x14ac:dyDescent="0.3">
      <c r="A9" s="1" t="s">
        <v>7</v>
      </c>
      <c r="B9" s="1" t="s">
        <v>8</v>
      </c>
      <c r="C9" s="1" t="s">
        <v>9</v>
      </c>
      <c r="D9" s="2" t="str">
        <f>HYPERLINK("https://inventaire.cncp.gouv.fr/fiches/3247/","3247")</f>
        <v>3247</v>
      </c>
      <c r="E9" s="2" t="str">
        <f>HYPERLINK("http://www.intercariforef.org/formations/certification-100709.html","100709")</f>
        <v>100709</v>
      </c>
      <c r="F9" s="3">
        <v>43199</v>
      </c>
      <c r="G9" s="3">
        <v>43199</v>
      </c>
    </row>
    <row r="10" spans="1:7" ht="26.2" x14ac:dyDescent="0.3">
      <c r="A10" s="1" t="s">
        <v>7</v>
      </c>
      <c r="B10" s="1" t="s">
        <v>10</v>
      </c>
      <c r="C10" s="1" t="s">
        <v>11</v>
      </c>
      <c r="D10" s="2" t="str">
        <f>HYPERLINK("https://inventaire.cncp.gouv.fr/fiches/3474/","3474")</f>
        <v>3474</v>
      </c>
      <c r="E10" s="2" t="str">
        <f>HYPERLINK("http://www.intercariforef.org/formations/certification-100557.html","100557")</f>
        <v>100557</v>
      </c>
      <c r="F10" s="3">
        <v>43188</v>
      </c>
      <c r="G10" s="3">
        <v>43188</v>
      </c>
    </row>
    <row r="11" spans="1:7" ht="26.2" x14ac:dyDescent="0.3">
      <c r="A11" s="1" t="s">
        <v>7</v>
      </c>
      <c r="B11" s="1" t="s">
        <v>12</v>
      </c>
      <c r="C11" s="1" t="s">
        <v>13</v>
      </c>
      <c r="D11" s="2" t="str">
        <f>HYPERLINK("https://inventaire.cncp.gouv.fr/fiches/3691/","3691")</f>
        <v>3691</v>
      </c>
      <c r="E11" s="2" t="str">
        <f>HYPERLINK("http://www.intercariforef.org/formations/certification-101143.html","101143")</f>
        <v>101143</v>
      </c>
      <c r="F11" s="3">
        <v>43250</v>
      </c>
      <c r="G11" s="3">
        <v>43250</v>
      </c>
    </row>
    <row r="12" spans="1:7" x14ac:dyDescent="0.3">
      <c r="A12" s="1" t="s">
        <v>7</v>
      </c>
      <c r="B12" s="1" t="s">
        <v>14</v>
      </c>
      <c r="C12" s="1" t="s">
        <v>15</v>
      </c>
      <c r="D12" s="2" t="str">
        <f>HYPERLINK("https://inventaire.cncp.gouv.fr/fiches/2472/","2472")</f>
        <v>2472</v>
      </c>
      <c r="E12" s="2" t="str">
        <f>HYPERLINK("http://www.intercariforef.org/formations/certification-93813.html","93813")</f>
        <v>93813</v>
      </c>
      <c r="F12" s="3">
        <v>42740</v>
      </c>
      <c r="G12" s="3">
        <v>42740</v>
      </c>
    </row>
    <row r="13" spans="1:7" ht="26.2" x14ac:dyDescent="0.3">
      <c r="A13" s="1" t="s">
        <v>7</v>
      </c>
      <c r="B13" s="1" t="s">
        <v>16</v>
      </c>
      <c r="C13" s="1" t="s">
        <v>17</v>
      </c>
      <c r="D13" s="2" t="str">
        <f>HYPERLINK("https://inventaire.cncp.gouv.fr/fiches/1806/","1806")</f>
        <v>1806</v>
      </c>
      <c r="E13" s="2" t="str">
        <f>HYPERLINK("http://www.intercariforef.org/formations/certification-88477.html","88477")</f>
        <v>88477</v>
      </c>
      <c r="F13" s="3">
        <v>42464</v>
      </c>
      <c r="G13" s="3">
        <v>42464</v>
      </c>
    </row>
    <row r="14" spans="1:7" ht="26.2" x14ac:dyDescent="0.3">
      <c r="A14" s="1" t="s">
        <v>7</v>
      </c>
      <c r="B14" s="1" t="s">
        <v>18</v>
      </c>
      <c r="C14" s="1" t="s">
        <v>19</v>
      </c>
      <c r="D14" s="2" t="str">
        <f>HYPERLINK("https://inventaire.cncp.gouv.fr/fiches/1816/","1816")</f>
        <v>1816</v>
      </c>
      <c r="E14" s="2" t="str">
        <f>HYPERLINK("http://www.intercariforef.org/formations/certification-88555.html","88555")</f>
        <v>88555</v>
      </c>
      <c r="F14" s="3">
        <v>42481</v>
      </c>
      <c r="G14" s="3">
        <v>42481</v>
      </c>
    </row>
    <row r="15" spans="1:7" ht="26.2" x14ac:dyDescent="0.3">
      <c r="A15" s="1" t="s">
        <v>7</v>
      </c>
      <c r="B15" s="1" t="s">
        <v>20</v>
      </c>
      <c r="C15" s="1" t="s">
        <v>21</v>
      </c>
      <c r="D15" s="2" t="str">
        <f>HYPERLINK("https://inventaire.cncp.gouv.fr/fiches/148/","148")</f>
        <v>148</v>
      </c>
      <c r="E15" s="2" t="str">
        <f>HYPERLINK("http://www.intercariforef.org/formations/certification-84533.html","84533")</f>
        <v>84533</v>
      </c>
      <c r="F15" s="3">
        <v>42114</v>
      </c>
      <c r="G15" s="3">
        <v>42114</v>
      </c>
    </row>
    <row r="16" spans="1:7" ht="26.2" x14ac:dyDescent="0.3">
      <c r="A16" s="1" t="s">
        <v>7</v>
      </c>
      <c r="B16" s="1" t="s">
        <v>22</v>
      </c>
      <c r="C16" s="1" t="s">
        <v>21</v>
      </c>
      <c r="D16" s="2" t="str">
        <f>HYPERLINK("https://inventaire.cncp.gouv.fr/fiches/159/","159")</f>
        <v>159</v>
      </c>
      <c r="E16" s="2" t="str">
        <f>HYPERLINK("http://www.intercariforef.org/formations/certification-84536.html","84536")</f>
        <v>84536</v>
      </c>
      <c r="F16" s="3">
        <v>42114</v>
      </c>
      <c r="G16" s="3">
        <v>42114</v>
      </c>
    </row>
    <row r="17" spans="1:7" ht="26.2" x14ac:dyDescent="0.3">
      <c r="A17" s="1" t="s">
        <v>7</v>
      </c>
      <c r="B17" s="1" t="s">
        <v>23</v>
      </c>
      <c r="C17" s="1" t="s">
        <v>24</v>
      </c>
      <c r="D17" s="2" t="str">
        <f>HYPERLINK("https://inventaire.cncp.gouv.fr/fiches/2460/","2460")</f>
        <v>2460</v>
      </c>
      <c r="E17" s="2" t="str">
        <f>HYPERLINK("http://www.intercariforef.org/formations/certification-94941.html","94941")</f>
        <v>94941</v>
      </c>
      <c r="F17" s="3">
        <v>42837</v>
      </c>
      <c r="G17" s="3">
        <v>42837</v>
      </c>
    </row>
    <row r="18" spans="1:7" ht="26.2" x14ac:dyDescent="0.3">
      <c r="A18" s="1" t="s">
        <v>7</v>
      </c>
      <c r="B18" s="1" t="s">
        <v>25</v>
      </c>
      <c r="C18" s="1" t="s">
        <v>26</v>
      </c>
      <c r="D18" s="2" t="str">
        <f>HYPERLINK("https://inventaire.cncp.gouv.fr/fiches/2336/","2336")</f>
        <v>2336</v>
      </c>
      <c r="E18" s="2" t="str">
        <f>HYPERLINK("http://www.intercariforef.org/formations/certification-92949.html","92949")</f>
        <v>92949</v>
      </c>
      <c r="F18" s="3">
        <v>42688</v>
      </c>
      <c r="G18" s="3">
        <v>42688</v>
      </c>
    </row>
    <row r="19" spans="1:7" x14ac:dyDescent="0.3">
      <c r="A19" s="1" t="s">
        <v>7</v>
      </c>
      <c r="B19" s="1" t="s">
        <v>27</v>
      </c>
      <c r="C19" s="1" t="s">
        <v>28</v>
      </c>
      <c r="D19" s="2" t="str">
        <f>HYPERLINK("https://inventaire.cncp.gouv.fr/fiches/3036/","3036")</f>
        <v>3036</v>
      </c>
      <c r="E19" s="2" t="str">
        <f>HYPERLINK("http://www.intercariforef.org/formations/certification-100711.html","100711")</f>
        <v>100711</v>
      </c>
      <c r="F19" s="3">
        <v>43199</v>
      </c>
      <c r="G19" s="3">
        <v>43199</v>
      </c>
    </row>
    <row r="20" spans="1:7" x14ac:dyDescent="0.3">
      <c r="A20" s="1" t="s">
        <v>7</v>
      </c>
      <c r="B20" s="1" t="s">
        <v>29</v>
      </c>
      <c r="C20" s="1" t="s">
        <v>30</v>
      </c>
      <c r="D20" s="2" t="str">
        <f>HYPERLINK("https://inventaire.cncp.gouv.fr/fiches/3021/","3021")</f>
        <v>3021</v>
      </c>
      <c r="E20" s="2" t="str">
        <f>HYPERLINK("http://www.intercariforef.org/formations/certification-96495.html","96495")</f>
        <v>96495</v>
      </c>
      <c r="F20" s="3">
        <v>42928</v>
      </c>
      <c r="G20" s="3">
        <v>42928</v>
      </c>
    </row>
    <row r="21" spans="1:7" x14ac:dyDescent="0.3">
      <c r="A21" s="1" t="s">
        <v>7</v>
      </c>
      <c r="B21" s="1" t="s">
        <v>31</v>
      </c>
      <c r="C21" s="1" t="s">
        <v>32</v>
      </c>
      <c r="D21" s="2" t="str">
        <f>HYPERLINK("https://inventaire.cncp.gouv.fr/fiches/3377/","3377")</f>
        <v>3377</v>
      </c>
      <c r="E21" s="2" t="str">
        <f>HYPERLINK("http://www.intercariforef.org/formations/certification-100027.html","100027")</f>
        <v>100027</v>
      </c>
      <c r="F21" s="3">
        <v>43151</v>
      </c>
      <c r="G21" s="3">
        <v>43151</v>
      </c>
    </row>
    <row r="22" spans="1:7" x14ac:dyDescent="0.3">
      <c r="A22" s="1" t="s">
        <v>7</v>
      </c>
      <c r="B22" s="1" t="s">
        <v>33</v>
      </c>
      <c r="C22" s="1" t="s">
        <v>34</v>
      </c>
      <c r="D22" s="2" t="str">
        <f>HYPERLINK("https://inventaire.cncp.gouv.fr/fiches/3182/","3182")</f>
        <v>3182</v>
      </c>
      <c r="E22" s="2" t="str">
        <f>HYPERLINK("http://www.intercariforef.org/formations/certification-99167.html","99167")</f>
        <v>99167</v>
      </c>
      <c r="F22" s="3">
        <v>43076</v>
      </c>
      <c r="G22" s="3">
        <v>43076</v>
      </c>
    </row>
    <row r="23" spans="1:7" x14ac:dyDescent="0.3">
      <c r="A23" s="1" t="s">
        <v>7</v>
      </c>
      <c r="B23" s="1" t="s">
        <v>35</v>
      </c>
      <c r="C23" s="1" t="s">
        <v>36</v>
      </c>
      <c r="D23" s="2" t="str">
        <f>HYPERLINK("https://inventaire.cncp.gouv.fr/fiches/2032/","2032")</f>
        <v>2032</v>
      </c>
      <c r="E23" s="2" t="str">
        <f>HYPERLINK("http://www.intercariforef.org/formations/certification-92125.html","92125")</f>
        <v>92125</v>
      </c>
      <c r="F23" s="3">
        <v>42667</v>
      </c>
      <c r="G23" s="3">
        <v>43125</v>
      </c>
    </row>
    <row r="24" spans="1:7" x14ac:dyDescent="0.3">
      <c r="A24" s="1" t="s">
        <v>37</v>
      </c>
      <c r="B24" s="1" t="s">
        <v>38</v>
      </c>
      <c r="C24" s="1" t="s">
        <v>36</v>
      </c>
      <c r="D24" s="2" t="str">
        <f>HYPERLINK("https://inventaire.cncp.gouv.fr/fiches/1139/","1139")</f>
        <v>1139</v>
      </c>
      <c r="E24" s="2" t="str">
        <f>HYPERLINK("http://www.intercariforef.org/formations/certification-71522.html","71522")</f>
        <v>71522</v>
      </c>
      <c r="F24" s="3">
        <v>40498</v>
      </c>
      <c r="G24" s="3">
        <v>43143</v>
      </c>
    </row>
    <row r="25" spans="1:7" x14ac:dyDescent="0.3">
      <c r="A25" s="1" t="s">
        <v>37</v>
      </c>
      <c r="B25" s="1" t="s">
        <v>39</v>
      </c>
      <c r="C25" s="1" t="s">
        <v>40</v>
      </c>
      <c r="D25" s="2" t="str">
        <f>HYPERLINK("https://inventaire.cncp.gouv.fr/fiches/2469/","2469")</f>
        <v>2469</v>
      </c>
      <c r="E25" s="2" t="str">
        <f>HYPERLINK("http://www.intercariforef.org/formations/certification-93811.html","93811")</f>
        <v>93811</v>
      </c>
      <c r="F25" s="3">
        <v>42740</v>
      </c>
      <c r="G25" s="3">
        <v>42979</v>
      </c>
    </row>
    <row r="26" spans="1:7" x14ac:dyDescent="0.3">
      <c r="A26" s="1" t="s">
        <v>37</v>
      </c>
      <c r="B26" s="1" t="s">
        <v>41</v>
      </c>
      <c r="C26" s="1" t="s">
        <v>42</v>
      </c>
      <c r="D26" s="2" t="str">
        <f>HYPERLINK("https://inventaire.cncp.gouv.fr/fiches/1372/","1372")</f>
        <v>1372</v>
      </c>
      <c r="E26" s="2" t="str">
        <f>HYPERLINK("http://www.intercariforef.org/formations/certification-89097.html","89097")</f>
        <v>89097</v>
      </c>
      <c r="F26" s="3">
        <v>42517</v>
      </c>
      <c r="G26" s="3">
        <v>42517</v>
      </c>
    </row>
    <row r="27" spans="1:7" x14ac:dyDescent="0.3">
      <c r="A27" s="1" t="s">
        <v>37</v>
      </c>
      <c r="B27" s="1" t="s">
        <v>43</v>
      </c>
      <c r="C27" s="1" t="s">
        <v>42</v>
      </c>
      <c r="D27" s="2" t="str">
        <f>HYPERLINK("https://inventaire.cncp.gouv.fr/fiches/2273/","2273")</f>
        <v>2273</v>
      </c>
      <c r="E27" s="2" t="str">
        <f>HYPERLINK("http://www.intercariforef.org/formations/certification-94973.html","94973")</f>
        <v>94973</v>
      </c>
      <c r="F27" s="3">
        <v>42838</v>
      </c>
      <c r="G27" s="3">
        <v>42838</v>
      </c>
    </row>
    <row r="28" spans="1:7" x14ac:dyDescent="0.3">
      <c r="A28" s="1" t="s">
        <v>37</v>
      </c>
      <c r="B28" s="1" t="s">
        <v>44</v>
      </c>
      <c r="C28" s="1" t="s">
        <v>42</v>
      </c>
      <c r="D28" s="2" t="str">
        <f>HYPERLINK("https://inventaire.cncp.gouv.fr/fiches/2876/","2876")</f>
        <v>2876</v>
      </c>
      <c r="E28" s="2" t="str">
        <f>HYPERLINK("http://www.intercariforef.org/formations/certification-99233.html","99233")</f>
        <v>99233</v>
      </c>
      <c r="F28" s="3">
        <v>43080</v>
      </c>
      <c r="G28" s="3">
        <v>43080</v>
      </c>
    </row>
    <row r="29" spans="1:7" x14ac:dyDescent="0.3">
      <c r="A29" s="1" t="s">
        <v>37</v>
      </c>
      <c r="B29" s="1" t="s">
        <v>45</v>
      </c>
      <c r="C29" s="1" t="s">
        <v>42</v>
      </c>
      <c r="D29" s="2" t="str">
        <f>HYPERLINK("https://inventaire.cncp.gouv.fr/fiches/2880/","2880")</f>
        <v>2880</v>
      </c>
      <c r="E29" s="2" t="str">
        <f>HYPERLINK("http://www.intercariforef.org/formations/certification-99235.html","99235")</f>
        <v>99235</v>
      </c>
      <c r="F29" s="3">
        <v>43080</v>
      </c>
      <c r="G29" s="3">
        <v>43080</v>
      </c>
    </row>
    <row r="30" spans="1:7" x14ac:dyDescent="0.3">
      <c r="A30" s="1" t="s">
        <v>37</v>
      </c>
      <c r="B30" s="1" t="s">
        <v>46</v>
      </c>
      <c r="C30" s="1" t="s">
        <v>42</v>
      </c>
      <c r="D30" s="2" t="str">
        <f>HYPERLINK("https://inventaire.cncp.gouv.fr/fiches/3387/","3387")</f>
        <v>3387</v>
      </c>
      <c r="E30" s="2" t="str">
        <f>HYPERLINK("http://www.intercariforef.org/formations/certification-104017.html","104017")</f>
        <v>104017</v>
      </c>
      <c r="F30" s="3">
        <v>43392</v>
      </c>
      <c r="G30" s="3">
        <v>43392</v>
      </c>
    </row>
    <row r="31" spans="1:7" x14ac:dyDescent="0.3">
      <c r="A31" s="1" t="s">
        <v>37</v>
      </c>
      <c r="B31" s="1" t="s">
        <v>47</v>
      </c>
      <c r="C31" s="1" t="s">
        <v>42</v>
      </c>
      <c r="D31" s="2" t="str">
        <f>HYPERLINK("https://inventaire.cncp.gouv.fr/fiches/2308/","2308")</f>
        <v>2308</v>
      </c>
      <c r="E31" s="2" t="str">
        <f>HYPERLINK("http://www.intercariforef.org/formations/certification-94971.html","94971")</f>
        <v>94971</v>
      </c>
      <c r="F31" s="3">
        <v>42838</v>
      </c>
      <c r="G31" s="3">
        <v>42838</v>
      </c>
    </row>
    <row r="32" spans="1:7" x14ac:dyDescent="0.3">
      <c r="A32" s="1" t="s">
        <v>37</v>
      </c>
      <c r="B32" s="1" t="s">
        <v>48</v>
      </c>
      <c r="C32" s="1" t="s">
        <v>42</v>
      </c>
      <c r="D32" s="2" t="str">
        <f>HYPERLINK("https://inventaire.cncp.gouv.fr/fiches/2310/","2310")</f>
        <v>2310</v>
      </c>
      <c r="E32" s="2" t="str">
        <f>HYPERLINK("http://www.intercariforef.org/formations/certification-94969.html","94969")</f>
        <v>94969</v>
      </c>
      <c r="F32" s="3">
        <v>42838</v>
      </c>
      <c r="G32" s="3">
        <v>42838</v>
      </c>
    </row>
    <row r="33" spans="1:7" x14ac:dyDescent="0.3">
      <c r="A33" s="1" t="s">
        <v>37</v>
      </c>
      <c r="B33" s="1" t="s">
        <v>49</v>
      </c>
      <c r="C33" s="1" t="s">
        <v>42</v>
      </c>
      <c r="D33" s="2" t="str">
        <f>HYPERLINK("https://inventaire.cncp.gouv.fr/fiches/1928/","1928")</f>
        <v>1928</v>
      </c>
      <c r="E33" s="2" t="str">
        <f>HYPERLINK("http://www.intercariforef.org/formations/certification-89093.html","89093")</f>
        <v>89093</v>
      </c>
      <c r="F33" s="3">
        <v>42517</v>
      </c>
      <c r="G33" s="3">
        <v>42517</v>
      </c>
    </row>
    <row r="34" spans="1:7" x14ac:dyDescent="0.3">
      <c r="A34" s="1" t="s">
        <v>37</v>
      </c>
      <c r="B34" s="1" t="s">
        <v>50</v>
      </c>
      <c r="C34" s="1" t="s">
        <v>42</v>
      </c>
      <c r="D34" s="2" t="str">
        <f>HYPERLINK("https://inventaire.cncp.gouv.fr/fiches/1929/","1929")</f>
        <v>1929</v>
      </c>
      <c r="E34" s="2" t="str">
        <f>HYPERLINK("http://www.intercariforef.org/formations/certification-89095.html","89095")</f>
        <v>89095</v>
      </c>
      <c r="F34" s="3">
        <v>42517</v>
      </c>
      <c r="G34" s="3">
        <v>42517</v>
      </c>
    </row>
    <row r="35" spans="1:7" x14ac:dyDescent="0.3">
      <c r="A35" s="1" t="s">
        <v>37</v>
      </c>
      <c r="B35" s="1" t="s">
        <v>51</v>
      </c>
      <c r="C35" s="1" t="s">
        <v>36</v>
      </c>
      <c r="D35" s="2" t="str">
        <f>HYPERLINK("https://inventaire.cncp.gouv.fr/fiches/4095/","4095")</f>
        <v>4095</v>
      </c>
      <c r="E35" s="2" t="str">
        <f>HYPERLINK("http://www.intercariforef.org/formations/certification-104173.html","104173")</f>
        <v>104173</v>
      </c>
      <c r="F35" s="3">
        <v>43403</v>
      </c>
      <c r="G35" s="3">
        <v>43403</v>
      </c>
    </row>
    <row r="36" spans="1:7" x14ac:dyDescent="0.3">
      <c r="A36" s="1" t="s">
        <v>37</v>
      </c>
      <c r="B36" s="1" t="s">
        <v>52</v>
      </c>
      <c r="C36" s="1" t="s">
        <v>36</v>
      </c>
      <c r="D36" s="2" t="str">
        <f>HYPERLINK("https://inventaire.cncp.gouv.fr/fiches/1812/","1812")</f>
        <v>1812</v>
      </c>
      <c r="E36" s="2" t="str">
        <f>HYPERLINK("http://www.intercariforef.org/formations/certification-23786.html","23786")</f>
        <v>23786</v>
      </c>
      <c r="F36" s="3">
        <v>38140</v>
      </c>
      <c r="G36" s="3">
        <v>43125</v>
      </c>
    </row>
    <row r="37" spans="1:7" x14ac:dyDescent="0.3">
      <c r="A37" s="1" t="s">
        <v>37</v>
      </c>
      <c r="B37" s="1" t="s">
        <v>53</v>
      </c>
      <c r="C37" s="1" t="s">
        <v>54</v>
      </c>
      <c r="D37" s="2" t="str">
        <f>HYPERLINK("https://inventaire.cncp.gouv.fr/fiches/1749/","1749")</f>
        <v>1749</v>
      </c>
      <c r="E37" s="2" t="str">
        <f>HYPERLINK("http://www.intercariforef.org/formations/certification-87631.html","87631")</f>
        <v>87631</v>
      </c>
      <c r="F37" s="3">
        <v>42415</v>
      </c>
      <c r="G37" s="3">
        <v>42415</v>
      </c>
    </row>
    <row r="38" spans="1:7" x14ac:dyDescent="0.3">
      <c r="A38" s="1" t="s">
        <v>37</v>
      </c>
      <c r="B38" s="1" t="s">
        <v>55</v>
      </c>
      <c r="C38" s="1" t="s">
        <v>56</v>
      </c>
      <c r="D38" s="2" t="str">
        <f>HYPERLINK("https://inventaire.cncp.gouv.fr/fiches/4079/","4079")</f>
        <v>4079</v>
      </c>
      <c r="E38" s="2" t="str">
        <f>HYPERLINK("http://www.intercariforef.org/formations/certification-104091.html","104091")</f>
        <v>104091</v>
      </c>
      <c r="F38" s="3">
        <v>43397</v>
      </c>
      <c r="G38" s="3">
        <v>43397</v>
      </c>
    </row>
    <row r="39" spans="1:7" ht="26.2" x14ac:dyDescent="0.3">
      <c r="A39" s="1" t="s">
        <v>37</v>
      </c>
      <c r="B39" s="1" t="s">
        <v>57</v>
      </c>
      <c r="C39" s="1" t="s">
        <v>58</v>
      </c>
      <c r="D39" s="2" t="str">
        <f>HYPERLINK("https://inventaire.cncp.gouv.fr/fiches/2115/","2115")</f>
        <v>2115</v>
      </c>
      <c r="E39" s="2" t="str">
        <f>HYPERLINK("http://www.intercariforef.org/formations/certification-104171.html","104171")</f>
        <v>104171</v>
      </c>
      <c r="F39" s="3">
        <v>43403</v>
      </c>
      <c r="G39" s="3">
        <v>43403</v>
      </c>
    </row>
    <row r="40" spans="1:7" ht="26.2" x14ac:dyDescent="0.3">
      <c r="A40" s="1" t="s">
        <v>37</v>
      </c>
      <c r="B40" s="1" t="s">
        <v>59</v>
      </c>
      <c r="C40" s="1" t="s">
        <v>60</v>
      </c>
      <c r="D40" s="2" t="str">
        <f>HYPERLINK("https://inventaire.cncp.gouv.fr/fiches/1139/","1139")</f>
        <v>1139</v>
      </c>
      <c r="E40" s="2" t="str">
        <f>HYPERLINK("http://www.intercariforef.org/formations/certification-81502.html","81502")</f>
        <v>81502</v>
      </c>
      <c r="F40" s="3">
        <v>41513</v>
      </c>
      <c r="G40" s="3">
        <v>43201</v>
      </c>
    </row>
    <row r="41" spans="1:7" ht="26.2" x14ac:dyDescent="0.3">
      <c r="A41" s="1" t="s">
        <v>37</v>
      </c>
      <c r="B41" s="1" t="s">
        <v>61</v>
      </c>
      <c r="C41" s="1" t="s">
        <v>60</v>
      </c>
      <c r="D41" s="2" t="str">
        <f>HYPERLINK("https://inventaire.cncp.gouv.fr/fiches/1139/","1139")</f>
        <v>1139</v>
      </c>
      <c r="E41" s="2" t="str">
        <f>HYPERLINK("http://www.intercariforef.org/formations/certification-83532.html","83532")</f>
        <v>83532</v>
      </c>
      <c r="F41" s="3">
        <v>41928</v>
      </c>
      <c r="G41" s="3">
        <v>43201</v>
      </c>
    </row>
    <row r="42" spans="1:7" x14ac:dyDescent="0.3">
      <c r="A42" s="1" t="s">
        <v>37</v>
      </c>
      <c r="B42" s="1" t="s">
        <v>62</v>
      </c>
      <c r="C42" s="1" t="s">
        <v>36</v>
      </c>
      <c r="D42" s="2" t="str">
        <f>HYPERLINK("https://inventaire.cncp.gouv.fr/fiches/1125/","1125")</f>
        <v>1125</v>
      </c>
      <c r="E42" s="2" t="str">
        <f>HYPERLINK("http://www.intercariforef.org/formations/certification-81500.html","81500")</f>
        <v>81500</v>
      </c>
      <c r="F42" s="3">
        <v>41513</v>
      </c>
      <c r="G42" s="3">
        <v>43125</v>
      </c>
    </row>
    <row r="43" spans="1:7" x14ac:dyDescent="0.3">
      <c r="A43" s="1" t="s">
        <v>37</v>
      </c>
      <c r="B43" s="1" t="s">
        <v>63</v>
      </c>
      <c r="C43" s="1" t="s">
        <v>64</v>
      </c>
      <c r="D43" s="2" t="str">
        <f>HYPERLINK("https://inventaire.cncp.gouv.fr/fiches/2921/","2921")</f>
        <v>2921</v>
      </c>
      <c r="E43" s="2" t="str">
        <f>HYPERLINK("http://www.intercariforef.org/formations/certification-97067.html","97067")</f>
        <v>97067</v>
      </c>
      <c r="F43" s="3">
        <v>42977</v>
      </c>
      <c r="G43" s="3">
        <v>42977</v>
      </c>
    </row>
    <row r="44" spans="1:7" x14ac:dyDescent="0.3">
      <c r="A44" s="1" t="s">
        <v>37</v>
      </c>
      <c r="B44" s="1" t="s">
        <v>65</v>
      </c>
      <c r="C44" s="1" t="s">
        <v>66</v>
      </c>
      <c r="D44" s="2" t="str">
        <f>HYPERLINK("https://inventaire.cncp.gouv.fr/fiches/3088/","3088")</f>
        <v>3088</v>
      </c>
      <c r="E44" s="2" t="str">
        <f>HYPERLINK("http://www.intercariforef.org/formations/certification-100139.html","100139")</f>
        <v>100139</v>
      </c>
      <c r="F44" s="3">
        <v>43153</v>
      </c>
      <c r="G44" s="3">
        <v>43153</v>
      </c>
    </row>
    <row r="45" spans="1:7" x14ac:dyDescent="0.3">
      <c r="A45" s="1" t="s">
        <v>37</v>
      </c>
      <c r="B45" s="1" t="s">
        <v>67</v>
      </c>
      <c r="C45" s="1" t="s">
        <v>66</v>
      </c>
      <c r="D45" s="2" t="str">
        <f>HYPERLINK("https://inventaire.cncp.gouv.fr/fiches/3085/","3085")</f>
        <v>3085</v>
      </c>
      <c r="E45" s="2" t="str">
        <f>HYPERLINK("http://www.intercariforef.org/formations/certification-100141.html","100141")</f>
        <v>100141</v>
      </c>
      <c r="F45" s="3">
        <v>43153</v>
      </c>
      <c r="G45" s="3">
        <v>43153</v>
      </c>
    </row>
    <row r="46" spans="1:7" ht="26.2" x14ac:dyDescent="0.3">
      <c r="A46" s="1" t="s">
        <v>68</v>
      </c>
      <c r="B46" s="1" t="s">
        <v>69</v>
      </c>
      <c r="C46" s="1" t="s">
        <v>70</v>
      </c>
      <c r="D46" s="2" t="str">
        <f>HYPERLINK("https://inventaire.cncp.gouv.fr/fiches/1942/","1942")</f>
        <v>1942</v>
      </c>
      <c r="E46" s="2" t="str">
        <f>HYPERLINK("http://www.intercariforef.org/formations/certification-88763.html","88763")</f>
        <v>88763</v>
      </c>
      <c r="F46" s="3">
        <v>42499</v>
      </c>
      <c r="G46" s="3">
        <v>43111</v>
      </c>
    </row>
    <row r="47" spans="1:7" x14ac:dyDescent="0.3">
      <c r="A47" s="1" t="s">
        <v>68</v>
      </c>
      <c r="B47" s="1" t="s">
        <v>71</v>
      </c>
      <c r="C47" s="1" t="s">
        <v>72</v>
      </c>
      <c r="D47" s="2" t="str">
        <f>HYPERLINK("https://inventaire.cncp.gouv.fr/fiches/3243/","3243")</f>
        <v>3243</v>
      </c>
      <c r="E47" s="2" t="str">
        <f>HYPERLINK("http://www.intercariforef.org/formations/certification-100829.html","100829")</f>
        <v>100829</v>
      </c>
      <c r="F47" s="3">
        <v>43209</v>
      </c>
      <c r="G47" s="3">
        <v>43209</v>
      </c>
    </row>
    <row r="48" spans="1:7" x14ac:dyDescent="0.3">
      <c r="A48" s="1" t="s">
        <v>68</v>
      </c>
      <c r="B48" s="1" t="s">
        <v>73</v>
      </c>
      <c r="C48" s="1" t="s">
        <v>72</v>
      </c>
      <c r="D48" s="2" t="str">
        <f>HYPERLINK("https://inventaire.cncp.gouv.fr/fiches/3245/","3245")</f>
        <v>3245</v>
      </c>
      <c r="E48" s="2" t="str">
        <f>HYPERLINK("http://www.intercariforef.org/formations/certification-100825.html","100825")</f>
        <v>100825</v>
      </c>
      <c r="F48" s="3">
        <v>43209</v>
      </c>
      <c r="G48" s="3">
        <v>43209</v>
      </c>
    </row>
    <row r="49" spans="1:7" x14ac:dyDescent="0.3">
      <c r="A49" s="1" t="s">
        <v>68</v>
      </c>
      <c r="B49" s="1" t="s">
        <v>74</v>
      </c>
      <c r="C49" s="1" t="s">
        <v>75</v>
      </c>
      <c r="D49" s="2" t="str">
        <f>HYPERLINK("https://inventaire.cncp.gouv.fr/fiches/942/","942")</f>
        <v>942</v>
      </c>
      <c r="E49" s="2" t="str">
        <f>HYPERLINK("http://www.intercariforef.org/formations/certification-85040.html","85040")</f>
        <v>85040</v>
      </c>
      <c r="F49" s="3">
        <v>42185</v>
      </c>
      <c r="G49" s="3">
        <v>42185</v>
      </c>
    </row>
    <row r="50" spans="1:7" x14ac:dyDescent="0.3">
      <c r="A50" s="1" t="s">
        <v>68</v>
      </c>
      <c r="B50" s="1" t="s">
        <v>76</v>
      </c>
      <c r="C50" s="1" t="s">
        <v>42</v>
      </c>
      <c r="D50" s="2" t="str">
        <f>HYPERLINK("https://inventaire.cncp.gouv.fr/fiches/2454/","2454")</f>
        <v>2454</v>
      </c>
      <c r="E50" s="2" t="str">
        <f>HYPERLINK("http://www.intercariforef.org/formations/certification-94939.html","94939")</f>
        <v>94939</v>
      </c>
      <c r="F50" s="3">
        <v>42837</v>
      </c>
      <c r="G50" s="3">
        <v>42837</v>
      </c>
    </row>
    <row r="51" spans="1:7" x14ac:dyDescent="0.3">
      <c r="A51" s="1" t="s">
        <v>68</v>
      </c>
      <c r="B51" s="1" t="s">
        <v>77</v>
      </c>
      <c r="C51" s="1" t="s">
        <v>42</v>
      </c>
      <c r="D51" s="2" t="str">
        <f>HYPERLINK("https://inventaire.cncp.gouv.fr/fiches/2465/","2465")</f>
        <v>2465</v>
      </c>
      <c r="E51" s="2" t="str">
        <f>HYPERLINK("http://www.intercariforef.org/formations/certification-94937.html","94937")</f>
        <v>94937</v>
      </c>
      <c r="F51" s="3">
        <v>42837</v>
      </c>
      <c r="G51" s="3">
        <v>42837</v>
      </c>
    </row>
    <row r="52" spans="1:7" x14ac:dyDescent="0.3">
      <c r="A52" s="1" t="s">
        <v>68</v>
      </c>
      <c r="B52" s="1" t="s">
        <v>78</v>
      </c>
      <c r="C52" s="1" t="s">
        <v>79</v>
      </c>
      <c r="D52" s="2" t="str">
        <f>HYPERLINK("https://inventaire.cncp.gouv.fr/fiches/641/","641")</f>
        <v>641</v>
      </c>
      <c r="E52" s="2" t="str">
        <f>HYPERLINK("http://www.intercariforef.org/formations/certification-84716.html","84716")</f>
        <v>84716</v>
      </c>
      <c r="F52" s="3">
        <v>42156</v>
      </c>
      <c r="G52" s="3">
        <v>43111</v>
      </c>
    </row>
    <row r="53" spans="1:7" x14ac:dyDescent="0.3">
      <c r="A53" s="1" t="s">
        <v>68</v>
      </c>
      <c r="B53" s="1" t="s">
        <v>80</v>
      </c>
      <c r="C53" s="1" t="s">
        <v>81</v>
      </c>
      <c r="D53" s="2" t="str">
        <f>HYPERLINK("https://inventaire.cncp.gouv.fr/fiches/2121/","2121")</f>
        <v>2121</v>
      </c>
      <c r="E53" s="2" t="str">
        <f>HYPERLINK("http://www.intercariforef.org/formations/certification-91911.html","91911")</f>
        <v>91911</v>
      </c>
      <c r="F53" s="3">
        <v>42662</v>
      </c>
      <c r="G53" s="3">
        <v>42662</v>
      </c>
    </row>
    <row r="54" spans="1:7" x14ac:dyDescent="0.3">
      <c r="A54" s="1" t="s">
        <v>68</v>
      </c>
      <c r="B54" s="1" t="s">
        <v>82</v>
      </c>
      <c r="C54" s="1" t="s">
        <v>83</v>
      </c>
      <c r="D54" s="2" t="str">
        <f>HYPERLINK("https://inventaire.cncp.gouv.fr/fiches/2401/","2401")</f>
        <v>2401</v>
      </c>
      <c r="E54" s="2" t="str">
        <f>HYPERLINK("http://www.intercariforef.org/formations/certification-92071.html","92071")</f>
        <v>92071</v>
      </c>
      <c r="F54" s="3">
        <v>42667</v>
      </c>
      <c r="G54" s="3">
        <v>42667</v>
      </c>
    </row>
    <row r="55" spans="1:7" x14ac:dyDescent="0.3">
      <c r="A55" s="1" t="s">
        <v>68</v>
      </c>
      <c r="B55" s="1" t="s">
        <v>84</v>
      </c>
      <c r="C55" s="1" t="s">
        <v>79</v>
      </c>
      <c r="D55" s="2" t="str">
        <f>HYPERLINK("https://inventaire.cncp.gouv.fr/fiches/645/","645")</f>
        <v>645</v>
      </c>
      <c r="E55" s="2" t="str">
        <f>HYPERLINK("http://www.intercariforef.org/formations/certification-84715.html","84715")</f>
        <v>84715</v>
      </c>
      <c r="F55" s="3">
        <v>42156</v>
      </c>
      <c r="G55" s="3">
        <v>43111</v>
      </c>
    </row>
    <row r="56" spans="1:7" x14ac:dyDescent="0.3">
      <c r="A56" s="1" t="s">
        <v>68</v>
      </c>
      <c r="B56" s="1" t="s">
        <v>85</v>
      </c>
      <c r="C56" s="1" t="s">
        <v>81</v>
      </c>
      <c r="D56" s="2" t="str">
        <f>HYPERLINK("https://inventaire.cncp.gouv.fr/fiches/2122/","2122")</f>
        <v>2122</v>
      </c>
      <c r="E56" s="2" t="str">
        <f>HYPERLINK("http://www.intercariforef.org/formations/certification-91909.html","91909")</f>
        <v>91909</v>
      </c>
      <c r="F56" s="3">
        <v>42662</v>
      </c>
      <c r="G56" s="3">
        <v>42662</v>
      </c>
    </row>
    <row r="57" spans="1:7" x14ac:dyDescent="0.3">
      <c r="A57" s="1" t="s">
        <v>68</v>
      </c>
      <c r="B57" s="1" t="s">
        <v>86</v>
      </c>
      <c r="C57" s="1" t="s">
        <v>81</v>
      </c>
      <c r="D57" s="2" t="str">
        <f>HYPERLINK("https://inventaire.cncp.gouv.fr/fiches/2124/","2124")</f>
        <v>2124</v>
      </c>
      <c r="E57" s="2" t="str">
        <f>HYPERLINK("http://www.intercariforef.org/formations/certification-91907.html","91907")</f>
        <v>91907</v>
      </c>
      <c r="F57" s="3">
        <v>42662</v>
      </c>
      <c r="G57" s="3">
        <v>42662</v>
      </c>
    </row>
    <row r="58" spans="1:7" ht="26.2" x14ac:dyDescent="0.3">
      <c r="A58" s="1" t="s">
        <v>68</v>
      </c>
      <c r="B58" s="1" t="s">
        <v>87</v>
      </c>
      <c r="C58" s="1" t="s">
        <v>79</v>
      </c>
      <c r="D58" s="2" t="str">
        <f>HYPERLINK("https://inventaire.cncp.gouv.fr/fiches/2030/","2030")</f>
        <v>2030</v>
      </c>
      <c r="E58" s="2" t="str">
        <f>HYPERLINK("http://www.intercariforef.org/formations/certification-82574.html","82574")</f>
        <v>82574</v>
      </c>
      <c r="F58" s="3">
        <v>41670</v>
      </c>
      <c r="G58" s="3">
        <v>43111</v>
      </c>
    </row>
    <row r="59" spans="1:7" ht="26.2" x14ac:dyDescent="0.3">
      <c r="A59" s="1" t="s">
        <v>68</v>
      </c>
      <c r="B59" s="1" t="s">
        <v>88</v>
      </c>
      <c r="C59" s="1" t="s">
        <v>79</v>
      </c>
      <c r="D59" s="2" t="str">
        <f>HYPERLINK("https://inventaire.cncp.gouv.fr/fiches/897/","897")</f>
        <v>897</v>
      </c>
      <c r="E59" s="2" t="str">
        <f>HYPERLINK("http://www.intercariforef.org/formations/certification-80692.html","80692")</f>
        <v>80692</v>
      </c>
      <c r="F59" s="3">
        <v>41296</v>
      </c>
      <c r="G59" s="3">
        <v>43111</v>
      </c>
    </row>
    <row r="60" spans="1:7" x14ac:dyDescent="0.3">
      <c r="A60" s="1" t="s">
        <v>68</v>
      </c>
      <c r="B60" s="1" t="s">
        <v>89</v>
      </c>
      <c r="C60" s="1" t="s">
        <v>79</v>
      </c>
      <c r="D60" s="2" t="str">
        <f>HYPERLINK("https://inventaire.cncp.gouv.fr/fiches/1943/","1943")</f>
        <v>1943</v>
      </c>
      <c r="E60" s="2" t="str">
        <f>HYPERLINK("http://www.intercariforef.org/formations/certification-82573.html","82573")</f>
        <v>82573</v>
      </c>
      <c r="F60" s="3">
        <v>41670</v>
      </c>
      <c r="G60" s="3">
        <v>43111</v>
      </c>
    </row>
    <row r="61" spans="1:7" x14ac:dyDescent="0.3">
      <c r="A61" s="1" t="s">
        <v>68</v>
      </c>
      <c r="B61" s="1" t="s">
        <v>90</v>
      </c>
      <c r="C61" s="1" t="s">
        <v>91</v>
      </c>
      <c r="D61" s="2" t="str">
        <f>HYPERLINK("https://inventaire.cncp.gouv.fr/fiches/2399/","2399")</f>
        <v>2399</v>
      </c>
      <c r="E61" s="2" t="str">
        <f>HYPERLINK("http://www.intercariforef.org/formations/certification-94963.html","94963")</f>
        <v>94963</v>
      </c>
      <c r="F61" s="3">
        <v>42838</v>
      </c>
      <c r="G61" s="3">
        <v>42838</v>
      </c>
    </row>
    <row r="62" spans="1:7" ht="26.2" x14ac:dyDescent="0.3">
      <c r="A62" s="1" t="s">
        <v>68</v>
      </c>
      <c r="B62" s="1" t="s">
        <v>92</v>
      </c>
      <c r="C62" s="1" t="s">
        <v>93</v>
      </c>
      <c r="D62" s="2" t="str">
        <f>HYPERLINK("https://inventaire.cncp.gouv.fr/fiches/672/","672")</f>
        <v>672</v>
      </c>
      <c r="E62" s="2" t="str">
        <f>HYPERLINK("http://www.intercariforef.org/formations/certification-84857.html","84857")</f>
        <v>84857</v>
      </c>
      <c r="F62" s="3">
        <v>42177</v>
      </c>
      <c r="G62" s="3">
        <v>42979</v>
      </c>
    </row>
    <row r="63" spans="1:7" ht="26.2" x14ac:dyDescent="0.3">
      <c r="A63" s="1" t="s">
        <v>68</v>
      </c>
      <c r="B63" s="1" t="s">
        <v>94</v>
      </c>
      <c r="C63" s="1" t="s">
        <v>93</v>
      </c>
      <c r="D63" s="2" t="str">
        <f>HYPERLINK("https://inventaire.cncp.gouv.fr/fiches/637/","637")</f>
        <v>637</v>
      </c>
      <c r="E63" s="2" t="str">
        <f>HYPERLINK("http://www.intercariforef.org/formations/certification-84869.html","84869")</f>
        <v>84869</v>
      </c>
      <c r="F63" s="3">
        <v>42177</v>
      </c>
      <c r="G63" s="3">
        <v>42979</v>
      </c>
    </row>
    <row r="64" spans="1:7" ht="91.65" x14ac:dyDescent="0.3">
      <c r="A64" s="1" t="s">
        <v>68</v>
      </c>
      <c r="B64" s="1" t="s">
        <v>95</v>
      </c>
      <c r="C64" s="1" t="s">
        <v>96</v>
      </c>
      <c r="D64" s="2" t="str">
        <f>HYPERLINK("https://inventaire.cncp.gouv.fr/fiches/446/","446")</f>
        <v>446</v>
      </c>
      <c r="E64" s="2" t="str">
        <f>HYPERLINK("http://www.intercariforef.org/formations/certification-79033.html","79033")</f>
        <v>79033</v>
      </c>
      <c r="F64" s="3">
        <v>41149</v>
      </c>
      <c r="G64" s="3">
        <v>43390</v>
      </c>
    </row>
    <row r="65" spans="1:7" x14ac:dyDescent="0.3">
      <c r="A65" s="1" t="s">
        <v>68</v>
      </c>
      <c r="B65" s="1" t="s">
        <v>97</v>
      </c>
      <c r="C65" s="1" t="s">
        <v>70</v>
      </c>
      <c r="D65" s="2" t="str">
        <f>HYPERLINK("https://inventaire.cncp.gouv.fr/fiches/876/","876")</f>
        <v>876</v>
      </c>
      <c r="E65" s="2" t="str">
        <f>HYPERLINK("http://www.intercariforef.org/formations/certification-69529.html","69529")</f>
        <v>69529</v>
      </c>
      <c r="F65" s="3">
        <v>40360</v>
      </c>
      <c r="G65" s="3">
        <v>43111</v>
      </c>
    </row>
    <row r="66" spans="1:7" x14ac:dyDescent="0.3">
      <c r="A66" s="1" t="s">
        <v>68</v>
      </c>
      <c r="B66" s="1" t="s">
        <v>98</v>
      </c>
      <c r="C66" s="1" t="s">
        <v>70</v>
      </c>
      <c r="D66" s="2" t="str">
        <f>HYPERLINK("https://inventaire.cncp.gouv.fr/fiches/878/","878")</f>
        <v>878</v>
      </c>
      <c r="E66" s="2" t="str">
        <f>HYPERLINK("http://www.intercariforef.org/formations/certification-69531.html","69531")</f>
        <v>69531</v>
      </c>
      <c r="F66" s="3">
        <v>40360</v>
      </c>
      <c r="G66" s="3">
        <v>43111</v>
      </c>
    </row>
    <row r="67" spans="1:7" x14ac:dyDescent="0.3">
      <c r="A67" s="1" t="s">
        <v>68</v>
      </c>
      <c r="B67" s="1" t="s">
        <v>99</v>
      </c>
      <c r="C67" s="1" t="s">
        <v>70</v>
      </c>
      <c r="D67" s="2" t="str">
        <f>HYPERLINK("https://inventaire.cncp.gouv.fr/fiches/879/","879")</f>
        <v>879</v>
      </c>
      <c r="E67" s="2" t="str">
        <f>HYPERLINK("http://www.intercariforef.org/formations/certification-85018.html","85018")</f>
        <v>85018</v>
      </c>
      <c r="F67" s="3">
        <v>42184</v>
      </c>
      <c r="G67" s="3">
        <v>43111</v>
      </c>
    </row>
    <row r="68" spans="1:7" x14ac:dyDescent="0.3">
      <c r="A68" s="1" t="s">
        <v>68</v>
      </c>
      <c r="B68" s="1" t="s">
        <v>100</v>
      </c>
      <c r="C68" s="1" t="s">
        <v>70</v>
      </c>
      <c r="D68" s="2" t="str">
        <f>HYPERLINK("https://inventaire.cncp.gouv.fr/fiches/881/","881")</f>
        <v>881</v>
      </c>
      <c r="E68" s="2" t="str">
        <f>HYPERLINK("http://www.intercariforef.org/formations/certification-85017.html","85017")</f>
        <v>85017</v>
      </c>
      <c r="F68" s="3">
        <v>42184</v>
      </c>
      <c r="G68" s="3">
        <v>43111</v>
      </c>
    </row>
    <row r="69" spans="1:7" ht="26.2" x14ac:dyDescent="0.3">
      <c r="A69" s="1" t="s">
        <v>68</v>
      </c>
      <c r="B69" s="1" t="s">
        <v>101</v>
      </c>
      <c r="C69" s="1" t="s">
        <v>102</v>
      </c>
      <c r="D69" s="2" t="str">
        <f>HYPERLINK("https://inventaire.cncp.gouv.fr/fiches/74/","74")</f>
        <v>74</v>
      </c>
      <c r="E69" s="2" t="str">
        <f>HYPERLINK("http://www.intercariforef.org/formations/certification-84393.html","84393")</f>
        <v>84393</v>
      </c>
      <c r="F69" s="3">
        <v>42109</v>
      </c>
      <c r="G69" s="3">
        <v>42668</v>
      </c>
    </row>
    <row r="70" spans="1:7" ht="39.299999999999997" x14ac:dyDescent="0.3">
      <c r="A70" s="1" t="s">
        <v>68</v>
      </c>
      <c r="B70" s="1" t="s">
        <v>103</v>
      </c>
      <c r="C70" s="1" t="s">
        <v>102</v>
      </c>
      <c r="D70" s="2" t="str">
        <f>HYPERLINK("https://inventaire.cncp.gouv.fr/fiches/72/","72")</f>
        <v>72</v>
      </c>
      <c r="E70" s="2" t="str">
        <f>HYPERLINK("http://www.intercariforef.org/formations/certification-84388.html","84388")</f>
        <v>84388</v>
      </c>
      <c r="F70" s="3">
        <v>42109</v>
      </c>
      <c r="G70" s="3">
        <v>42668</v>
      </c>
    </row>
    <row r="71" spans="1:7" ht="39.299999999999997" x14ac:dyDescent="0.3">
      <c r="A71" s="1" t="s">
        <v>68</v>
      </c>
      <c r="B71" s="1" t="s">
        <v>104</v>
      </c>
      <c r="C71" s="1" t="s">
        <v>102</v>
      </c>
      <c r="D71" s="2" t="str">
        <f>HYPERLINK("https://inventaire.cncp.gouv.fr/fiches/71/","71")</f>
        <v>71</v>
      </c>
      <c r="E71" s="2" t="str">
        <f>HYPERLINK("http://www.intercariforef.org/formations/certification-84386.html","84386")</f>
        <v>84386</v>
      </c>
      <c r="F71" s="3">
        <v>42109</v>
      </c>
      <c r="G71" s="3">
        <v>42668</v>
      </c>
    </row>
    <row r="72" spans="1:7" ht="26.2" x14ac:dyDescent="0.3">
      <c r="A72" s="1" t="s">
        <v>68</v>
      </c>
      <c r="B72" s="1" t="s">
        <v>105</v>
      </c>
      <c r="C72" s="1" t="s">
        <v>102</v>
      </c>
      <c r="D72" s="2" t="str">
        <f>HYPERLINK("https://inventaire.cncp.gouv.fr/fiches/73/","73")</f>
        <v>73</v>
      </c>
      <c r="E72" s="2" t="str">
        <f>HYPERLINK("http://www.intercariforef.org/formations/certification-84390.html","84390")</f>
        <v>84390</v>
      </c>
      <c r="F72" s="3">
        <v>42109</v>
      </c>
      <c r="G72" s="3">
        <v>42718</v>
      </c>
    </row>
    <row r="73" spans="1:7" ht="26.2" x14ac:dyDescent="0.3">
      <c r="A73" s="1" t="s">
        <v>68</v>
      </c>
      <c r="B73" s="1" t="s">
        <v>106</v>
      </c>
      <c r="C73" s="1" t="s">
        <v>102</v>
      </c>
      <c r="D73" s="2" t="str">
        <f>HYPERLINK("https://inventaire.cncp.gouv.fr/fiches/75/","75")</f>
        <v>75</v>
      </c>
      <c r="E73" s="2" t="str">
        <f>HYPERLINK("http://www.intercariforef.org/formations/certification-76654.html","76654")</f>
        <v>76654</v>
      </c>
      <c r="F73" s="3">
        <v>40841</v>
      </c>
      <c r="G73" s="3">
        <v>42668</v>
      </c>
    </row>
    <row r="74" spans="1:7" ht="26.2" x14ac:dyDescent="0.3">
      <c r="A74" s="1" t="s">
        <v>68</v>
      </c>
      <c r="B74" s="1" t="s">
        <v>106</v>
      </c>
      <c r="C74" s="1" t="s">
        <v>79</v>
      </c>
      <c r="D74" s="2" t="str">
        <f>HYPERLINK("https://inventaire.cncp.gouv.fr/fiches/75/","75")</f>
        <v>75</v>
      </c>
      <c r="E74" s="2" t="str">
        <f>HYPERLINK("http://www.intercariforef.org/formations/certification-92173.html","92173")</f>
        <v>92173</v>
      </c>
      <c r="F74" s="3">
        <v>42668</v>
      </c>
      <c r="G74" s="3">
        <v>43111</v>
      </c>
    </row>
    <row r="75" spans="1:7" ht="26.2" x14ac:dyDescent="0.3">
      <c r="A75" s="1" t="s">
        <v>68</v>
      </c>
      <c r="B75" s="1" t="s">
        <v>107</v>
      </c>
      <c r="C75" s="1" t="s">
        <v>79</v>
      </c>
      <c r="D75" s="2" t="str">
        <f>HYPERLINK("https://inventaire.cncp.gouv.fr/fiches/73/","73")</f>
        <v>73</v>
      </c>
      <c r="E75" s="2" t="str">
        <f>HYPERLINK("http://www.intercariforef.org/formations/certification-92201.html","92201")</f>
        <v>92201</v>
      </c>
      <c r="F75" s="3">
        <v>42668</v>
      </c>
      <c r="G75" s="3">
        <v>43111</v>
      </c>
    </row>
    <row r="76" spans="1:7" ht="26.2" x14ac:dyDescent="0.3">
      <c r="A76" s="1" t="s">
        <v>68</v>
      </c>
      <c r="B76" s="1" t="s">
        <v>108</v>
      </c>
      <c r="C76" s="1" t="s">
        <v>102</v>
      </c>
      <c r="D76" s="2" t="str">
        <f>HYPERLINK("https://inventaire.cncp.gouv.fr/fiches/73/","73")</f>
        <v>73</v>
      </c>
      <c r="E76" s="2" t="str">
        <f>HYPERLINK("http://www.intercariforef.org/formations/certification-76655.html","76655")</f>
        <v>76655</v>
      </c>
      <c r="F76" s="3">
        <v>40841</v>
      </c>
      <c r="G76" s="3">
        <v>42718</v>
      </c>
    </row>
    <row r="77" spans="1:7" ht="26.2" x14ac:dyDescent="0.3">
      <c r="A77" s="1" t="s">
        <v>68</v>
      </c>
      <c r="B77" s="1" t="s">
        <v>109</v>
      </c>
      <c r="C77" s="1" t="s">
        <v>102</v>
      </c>
      <c r="D77" s="2" t="str">
        <f>HYPERLINK("https://inventaire.cncp.gouv.fr/fiches/73/","73")</f>
        <v>73</v>
      </c>
      <c r="E77" s="2" t="str">
        <f>HYPERLINK("http://www.intercariforef.org/formations/certification-77090.html","77090")</f>
        <v>77090</v>
      </c>
      <c r="F77" s="3">
        <v>40932</v>
      </c>
      <c r="G77" s="3">
        <v>42718</v>
      </c>
    </row>
    <row r="78" spans="1:7" ht="26.2" x14ac:dyDescent="0.3">
      <c r="A78" s="1" t="s">
        <v>68</v>
      </c>
      <c r="B78" s="1" t="s">
        <v>110</v>
      </c>
      <c r="C78" s="1" t="s">
        <v>102</v>
      </c>
      <c r="D78" s="2" t="str">
        <f>HYPERLINK("https://inventaire.cncp.gouv.fr/fiches/74/","74")</f>
        <v>74</v>
      </c>
      <c r="E78" s="2" t="str">
        <f>HYPERLINK("http://www.intercariforef.org/formations/certification-77347.html","77347")</f>
        <v>77347</v>
      </c>
      <c r="F78" s="3">
        <v>40983</v>
      </c>
      <c r="G78" s="3">
        <v>42668</v>
      </c>
    </row>
    <row r="79" spans="1:7" ht="26.2" x14ac:dyDescent="0.3">
      <c r="A79" s="1" t="s">
        <v>68</v>
      </c>
      <c r="B79" s="1" t="s">
        <v>111</v>
      </c>
      <c r="C79" s="1" t="s">
        <v>102</v>
      </c>
      <c r="D79" s="2" t="str">
        <f>HYPERLINK("https://inventaire.cncp.gouv.fr/fiches/74/","74")</f>
        <v>74</v>
      </c>
      <c r="E79" s="2" t="str">
        <f>HYPERLINK("http://www.intercariforef.org/formations/certification-77348.html","77348")</f>
        <v>77348</v>
      </c>
      <c r="F79" s="3">
        <v>40983</v>
      </c>
      <c r="G79" s="3">
        <v>42668</v>
      </c>
    </row>
    <row r="80" spans="1:7" ht="26.2" x14ac:dyDescent="0.3">
      <c r="A80" s="1" t="s">
        <v>68</v>
      </c>
      <c r="B80" s="1" t="s">
        <v>112</v>
      </c>
      <c r="C80" s="1" t="s">
        <v>79</v>
      </c>
      <c r="D80" s="2" t="str">
        <f>HYPERLINK("https://inventaire.cncp.gouv.fr/fiches/2623/","2623")</f>
        <v>2623</v>
      </c>
      <c r="E80" s="2" t="str">
        <f>HYPERLINK("http://www.intercariforef.org/formations/certification-92189.html","92189")</f>
        <v>92189</v>
      </c>
      <c r="F80" s="3">
        <v>42668</v>
      </c>
      <c r="G80" s="3">
        <v>43111</v>
      </c>
    </row>
    <row r="81" spans="1:7" ht="26.2" x14ac:dyDescent="0.3">
      <c r="A81" s="1" t="s">
        <v>68</v>
      </c>
      <c r="B81" s="1" t="s">
        <v>113</v>
      </c>
      <c r="C81" s="1" t="s">
        <v>79</v>
      </c>
      <c r="D81" s="2" t="str">
        <f>HYPERLINK("https://inventaire.cncp.gouv.fr/fiches/2623/","2623")</f>
        <v>2623</v>
      </c>
      <c r="E81" s="2" t="str">
        <f>HYPERLINK("http://www.intercariforef.org/formations/certification-92181.html","92181")</f>
        <v>92181</v>
      </c>
      <c r="F81" s="3">
        <v>42668</v>
      </c>
      <c r="G81" s="3">
        <v>43111</v>
      </c>
    </row>
    <row r="82" spans="1:7" ht="26.2" x14ac:dyDescent="0.3">
      <c r="A82" s="1" t="s">
        <v>68</v>
      </c>
      <c r="B82" s="1" t="s">
        <v>114</v>
      </c>
      <c r="C82" s="1" t="s">
        <v>102</v>
      </c>
      <c r="D82" s="2" t="str">
        <f>HYPERLINK("https://inventaire.cncp.gouv.fr/fiches/72/","72")</f>
        <v>72</v>
      </c>
      <c r="E82" s="2" t="str">
        <f>HYPERLINK("http://www.intercariforef.org/formations/certification-76652.html","76652")</f>
        <v>76652</v>
      </c>
      <c r="F82" s="3">
        <v>40841</v>
      </c>
      <c r="G82" s="3">
        <v>42668</v>
      </c>
    </row>
    <row r="83" spans="1:7" ht="26.2" x14ac:dyDescent="0.3">
      <c r="A83" s="1" t="s">
        <v>68</v>
      </c>
      <c r="B83" s="1" t="s">
        <v>115</v>
      </c>
      <c r="C83" s="1" t="s">
        <v>102</v>
      </c>
      <c r="D83" s="2" t="str">
        <f>HYPERLINK("https://inventaire.cncp.gouv.fr/fiches/71/","71")</f>
        <v>71</v>
      </c>
      <c r="E83" s="2" t="str">
        <f>HYPERLINK("http://www.intercariforef.org/formations/certification-76648.html","76648")</f>
        <v>76648</v>
      </c>
      <c r="F83" s="3">
        <v>40841</v>
      </c>
      <c r="G83" s="3">
        <v>42668</v>
      </c>
    </row>
    <row r="84" spans="1:7" ht="26.2" x14ac:dyDescent="0.3">
      <c r="A84" s="1" t="s">
        <v>68</v>
      </c>
      <c r="B84" s="1" t="s">
        <v>116</v>
      </c>
      <c r="C84" s="1" t="s">
        <v>79</v>
      </c>
      <c r="D84" s="2" t="str">
        <f>HYPERLINK("https://inventaire.cncp.gouv.fr/fiches/2624/","2624")</f>
        <v>2624</v>
      </c>
      <c r="E84" s="2" t="str">
        <f>HYPERLINK("http://www.intercariforef.org/formations/certification-92197.html","92197")</f>
        <v>92197</v>
      </c>
      <c r="F84" s="3">
        <v>42668</v>
      </c>
      <c r="G84" s="3">
        <v>43111</v>
      </c>
    </row>
    <row r="85" spans="1:7" ht="26.2" x14ac:dyDescent="0.3">
      <c r="A85" s="1" t="s">
        <v>68</v>
      </c>
      <c r="B85" s="1" t="s">
        <v>117</v>
      </c>
      <c r="C85" s="1" t="s">
        <v>102</v>
      </c>
      <c r="D85" s="2" t="str">
        <f>HYPERLINK("https://inventaire.cncp.gouv.fr/fiches/72/","72")</f>
        <v>72</v>
      </c>
      <c r="E85" s="2" t="str">
        <f>HYPERLINK("http://www.intercariforef.org/formations/certification-76653.html","76653")</f>
        <v>76653</v>
      </c>
      <c r="F85" s="3">
        <v>40841</v>
      </c>
      <c r="G85" s="3">
        <v>42668</v>
      </c>
    </row>
    <row r="86" spans="1:7" ht="26.2" x14ac:dyDescent="0.3">
      <c r="A86" s="1" t="s">
        <v>68</v>
      </c>
      <c r="B86" s="1" t="s">
        <v>118</v>
      </c>
      <c r="C86" s="1" t="s">
        <v>102</v>
      </c>
      <c r="D86" s="2" t="str">
        <f>HYPERLINK("https://inventaire.cncp.gouv.fr/fiches/71/","71")</f>
        <v>71</v>
      </c>
      <c r="E86" s="2" t="str">
        <f>HYPERLINK("http://www.intercariforef.org/formations/certification-76651.html","76651")</f>
        <v>76651</v>
      </c>
      <c r="F86" s="3">
        <v>40841</v>
      </c>
      <c r="G86" s="3">
        <v>42668</v>
      </c>
    </row>
    <row r="87" spans="1:7" x14ac:dyDescent="0.3">
      <c r="A87" s="1" t="s">
        <v>68</v>
      </c>
      <c r="B87" s="1" t="s">
        <v>119</v>
      </c>
      <c r="C87" s="1" t="s">
        <v>79</v>
      </c>
      <c r="D87" s="2" t="str">
        <f>HYPERLINK("https://inventaire.cncp.gouv.fr/fiches/895/","895")</f>
        <v>895</v>
      </c>
      <c r="E87" s="2" t="str">
        <f>HYPERLINK("http://www.intercariforef.org/formations/certification-85023.html","85023")</f>
        <v>85023</v>
      </c>
      <c r="F87" s="3">
        <v>42184</v>
      </c>
      <c r="G87" s="3">
        <v>43111</v>
      </c>
    </row>
    <row r="88" spans="1:7" x14ac:dyDescent="0.3">
      <c r="A88" s="1" t="s">
        <v>68</v>
      </c>
      <c r="B88" s="1" t="s">
        <v>120</v>
      </c>
      <c r="C88" s="1" t="s">
        <v>121</v>
      </c>
      <c r="D88" s="2" t="str">
        <f>HYPERLINK("https://inventaire.cncp.gouv.fr/fiches/1962/","1962")</f>
        <v>1962</v>
      </c>
      <c r="E88" s="2" t="str">
        <f>HYPERLINK("http://www.intercariforef.org/formations/certification-90721.html","90721")</f>
        <v>90721</v>
      </c>
      <c r="F88" s="3">
        <v>42620</v>
      </c>
      <c r="G88" s="3">
        <v>43384</v>
      </c>
    </row>
    <row r="89" spans="1:7" x14ac:dyDescent="0.3">
      <c r="A89" s="1" t="s">
        <v>68</v>
      </c>
      <c r="B89" s="1" t="s">
        <v>122</v>
      </c>
      <c r="C89" s="1" t="s">
        <v>121</v>
      </c>
      <c r="D89" s="2" t="str">
        <f>HYPERLINK("https://inventaire.cncp.gouv.fr/fiches/1962/","1962")</f>
        <v>1962</v>
      </c>
      <c r="E89" s="2" t="str">
        <f>HYPERLINK("http://www.intercariforef.org/formations/certification-90723.html","90723")</f>
        <v>90723</v>
      </c>
      <c r="F89" s="3">
        <v>42620</v>
      </c>
      <c r="G89" s="3">
        <v>43384</v>
      </c>
    </row>
    <row r="90" spans="1:7" x14ac:dyDescent="0.3">
      <c r="A90" s="1" t="s">
        <v>68</v>
      </c>
      <c r="B90" s="1" t="s">
        <v>123</v>
      </c>
      <c r="C90" s="1" t="s">
        <v>121</v>
      </c>
      <c r="D90" s="2" t="str">
        <f>HYPERLINK("https://inventaire.cncp.gouv.fr/fiches/1962/","1962")</f>
        <v>1962</v>
      </c>
      <c r="E90" s="2" t="str">
        <f>HYPERLINK("http://www.intercariforef.org/formations/certification-90725.html","90725")</f>
        <v>90725</v>
      </c>
      <c r="F90" s="3">
        <v>42620</v>
      </c>
      <c r="G90" s="3">
        <v>43384</v>
      </c>
    </row>
    <row r="91" spans="1:7" x14ac:dyDescent="0.3">
      <c r="A91" s="1" t="s">
        <v>68</v>
      </c>
      <c r="B91" s="1" t="s">
        <v>124</v>
      </c>
      <c r="C91" s="1" t="s">
        <v>125</v>
      </c>
      <c r="D91" s="2" t="str">
        <f>HYPERLINK("https://inventaire.cncp.gouv.fr/fiches/3145/","3145")</f>
        <v>3145</v>
      </c>
      <c r="E91" s="2" t="str">
        <f>HYPERLINK("http://www.intercariforef.org/formations/certification-99217.html","99217")</f>
        <v>99217</v>
      </c>
      <c r="F91" s="3">
        <v>43077</v>
      </c>
      <c r="G91" s="3">
        <v>43077</v>
      </c>
    </row>
    <row r="92" spans="1:7" x14ac:dyDescent="0.3">
      <c r="A92" s="1" t="s">
        <v>68</v>
      </c>
      <c r="B92" s="1" t="s">
        <v>126</v>
      </c>
      <c r="C92" s="1" t="s">
        <v>127</v>
      </c>
      <c r="D92" s="2" t="str">
        <f>HYPERLINK("https://inventaire.cncp.gouv.fr/fiches/2444/","2444")</f>
        <v>2444</v>
      </c>
      <c r="E92" s="2" t="str">
        <f>HYPERLINK("http://www.intercariforef.org/formations/certification-94145.html","94145")</f>
        <v>94145</v>
      </c>
      <c r="F92" s="3">
        <v>42772</v>
      </c>
      <c r="G92" s="3">
        <v>42772</v>
      </c>
    </row>
    <row r="93" spans="1:7" x14ac:dyDescent="0.3">
      <c r="A93" s="1" t="s">
        <v>68</v>
      </c>
      <c r="B93" s="1" t="s">
        <v>128</v>
      </c>
      <c r="C93" s="1" t="s">
        <v>129</v>
      </c>
      <c r="D93" s="2" t="str">
        <f>HYPERLINK("https://inventaire.cncp.gouv.fr/fiches/3155/","3155")</f>
        <v>3155</v>
      </c>
      <c r="E93" s="2" t="str">
        <f>HYPERLINK("http://www.intercariforef.org/formations/certification-99213.html","99213")</f>
        <v>99213</v>
      </c>
      <c r="F93" s="3">
        <v>43076</v>
      </c>
      <c r="G93" s="3">
        <v>43076</v>
      </c>
    </row>
    <row r="94" spans="1:7" x14ac:dyDescent="0.3">
      <c r="A94" s="1" t="s">
        <v>68</v>
      </c>
      <c r="B94" s="1" t="s">
        <v>130</v>
      </c>
      <c r="C94" s="1" t="s">
        <v>129</v>
      </c>
      <c r="D94" s="2" t="str">
        <f>HYPERLINK("https://inventaire.cncp.gouv.fr/fiches/3156/","3156")</f>
        <v>3156</v>
      </c>
      <c r="E94" s="2" t="str">
        <f>HYPERLINK("http://www.intercariforef.org/formations/certification-99211.html","99211")</f>
        <v>99211</v>
      </c>
      <c r="F94" s="3">
        <v>43076</v>
      </c>
      <c r="G94" s="3">
        <v>43076</v>
      </c>
    </row>
    <row r="95" spans="1:7" x14ac:dyDescent="0.3">
      <c r="A95" s="1" t="s">
        <v>68</v>
      </c>
      <c r="B95" s="1" t="s">
        <v>131</v>
      </c>
      <c r="C95" s="1" t="s">
        <v>129</v>
      </c>
      <c r="D95" s="2" t="str">
        <f>HYPERLINK("https://inventaire.cncp.gouv.fr/fiches/3157/","3157")</f>
        <v>3157</v>
      </c>
      <c r="E95" s="2" t="str">
        <f>HYPERLINK("http://www.intercariforef.org/formations/certification-99209.html","99209")</f>
        <v>99209</v>
      </c>
      <c r="F95" s="3">
        <v>43076</v>
      </c>
      <c r="G95" s="3">
        <v>43076</v>
      </c>
    </row>
    <row r="96" spans="1:7" x14ac:dyDescent="0.3">
      <c r="A96" s="1" t="s">
        <v>68</v>
      </c>
      <c r="B96" s="1" t="s">
        <v>132</v>
      </c>
      <c r="C96" s="1" t="s">
        <v>133</v>
      </c>
      <c r="D96" s="2" t="str">
        <f>HYPERLINK("https://inventaire.cncp.gouv.fr/fiches/1634/","1634")</f>
        <v>1634</v>
      </c>
      <c r="E96" s="2" t="str">
        <f>HYPERLINK("http://www.intercariforef.org/formations/certification-88771.html","88771")</f>
        <v>88771</v>
      </c>
      <c r="F96" s="3">
        <v>42499</v>
      </c>
      <c r="G96" s="3">
        <v>43046</v>
      </c>
    </row>
    <row r="97" spans="1:7" ht="26.2" x14ac:dyDescent="0.3">
      <c r="A97" s="1" t="s">
        <v>68</v>
      </c>
      <c r="B97" s="1" t="s">
        <v>134</v>
      </c>
      <c r="C97" s="1" t="s">
        <v>135</v>
      </c>
      <c r="D97" s="2" t="str">
        <f>HYPERLINK("https://inventaire.cncp.gouv.fr/fiches/2353/","2353")</f>
        <v>2353</v>
      </c>
      <c r="E97" s="2" t="str">
        <f>HYPERLINK("http://www.intercariforef.org/formations/certification-91891.html","91891")</f>
        <v>91891</v>
      </c>
      <c r="F97" s="3">
        <v>42662</v>
      </c>
      <c r="G97" s="3">
        <v>43125</v>
      </c>
    </row>
    <row r="98" spans="1:7" x14ac:dyDescent="0.3">
      <c r="A98" s="1" t="s">
        <v>68</v>
      </c>
      <c r="B98" s="1" t="s">
        <v>136</v>
      </c>
      <c r="C98" s="1" t="s">
        <v>79</v>
      </c>
      <c r="D98" s="2" t="str">
        <f>HYPERLINK("https://inventaire.cncp.gouv.fr/fiches/1790/","1790")</f>
        <v>1790</v>
      </c>
      <c r="E98" s="2" t="str">
        <f>HYPERLINK("http://www.intercariforef.org/formations/certification-87689.html","87689")</f>
        <v>87689</v>
      </c>
      <c r="F98" s="3">
        <v>42418</v>
      </c>
      <c r="G98" s="3">
        <v>43111</v>
      </c>
    </row>
    <row r="99" spans="1:7" x14ac:dyDescent="0.3">
      <c r="A99" s="1" t="s">
        <v>68</v>
      </c>
      <c r="B99" s="1" t="s">
        <v>137</v>
      </c>
      <c r="C99" s="1" t="s">
        <v>138</v>
      </c>
      <c r="D99" s="2" t="str">
        <f>HYPERLINK("https://inventaire.cncp.gouv.fr/fiches/2188/","2188")</f>
        <v>2188</v>
      </c>
      <c r="E99" s="2" t="str">
        <f>HYPERLINK("http://www.intercariforef.org/formations/certification-93827.html","93827")</f>
        <v>93827</v>
      </c>
      <c r="F99" s="3">
        <v>42740</v>
      </c>
      <c r="G99" s="3">
        <v>42740</v>
      </c>
    </row>
    <row r="100" spans="1:7" x14ac:dyDescent="0.3">
      <c r="A100" s="1" t="s">
        <v>68</v>
      </c>
      <c r="B100" s="1" t="s">
        <v>139</v>
      </c>
      <c r="C100" s="1" t="s">
        <v>72</v>
      </c>
      <c r="D100" s="2" t="str">
        <f>HYPERLINK("https://inventaire.cncp.gouv.fr/fiches/3244/","3244")</f>
        <v>3244</v>
      </c>
      <c r="E100" s="2" t="str">
        <f>HYPERLINK("http://www.intercariforef.org/formations/certification-100827.html","100827")</f>
        <v>100827</v>
      </c>
      <c r="F100" s="3">
        <v>43209</v>
      </c>
      <c r="G100" s="3">
        <v>43209</v>
      </c>
    </row>
    <row r="101" spans="1:7" x14ac:dyDescent="0.3">
      <c r="A101" s="1" t="s">
        <v>68</v>
      </c>
      <c r="B101" s="1" t="s">
        <v>140</v>
      </c>
      <c r="C101" s="1" t="s">
        <v>141</v>
      </c>
      <c r="D101" s="2" t="str">
        <f>HYPERLINK("https://inventaire.cncp.gouv.fr/fiches/2189/","2189")</f>
        <v>2189</v>
      </c>
      <c r="E101" s="2" t="str">
        <f>HYPERLINK("http://www.intercariforef.org/formations/certification-93967.html","93967")</f>
        <v>93967</v>
      </c>
      <c r="F101" s="3">
        <v>42745</v>
      </c>
      <c r="G101" s="3">
        <v>42979</v>
      </c>
    </row>
    <row r="102" spans="1:7" x14ac:dyDescent="0.3">
      <c r="A102" s="1" t="s">
        <v>68</v>
      </c>
      <c r="B102" s="1" t="s">
        <v>142</v>
      </c>
      <c r="C102" s="1" t="s">
        <v>141</v>
      </c>
      <c r="D102" s="2" t="str">
        <f>HYPERLINK("https://inventaire.cncp.gouv.fr/fiches/2190/","2190")</f>
        <v>2190</v>
      </c>
      <c r="E102" s="2" t="str">
        <f>HYPERLINK("http://www.intercariforef.org/formations/certification-93965.html","93965")</f>
        <v>93965</v>
      </c>
      <c r="F102" s="3">
        <v>42745</v>
      </c>
      <c r="G102" s="3">
        <v>42979</v>
      </c>
    </row>
    <row r="103" spans="1:7" x14ac:dyDescent="0.3">
      <c r="A103" s="1" t="s">
        <v>68</v>
      </c>
      <c r="B103" s="1" t="s">
        <v>143</v>
      </c>
      <c r="C103" s="1" t="s">
        <v>141</v>
      </c>
      <c r="D103" s="2" t="str">
        <f>HYPERLINK("https://inventaire.cncp.gouv.fr/fiches/2193/","2193")</f>
        <v>2193</v>
      </c>
      <c r="E103" s="2" t="str">
        <f>HYPERLINK("http://www.intercariforef.org/formations/certification-93961.html","93961")</f>
        <v>93961</v>
      </c>
      <c r="F103" s="3">
        <v>42745</v>
      </c>
      <c r="G103" s="3">
        <v>42979</v>
      </c>
    </row>
    <row r="104" spans="1:7" x14ac:dyDescent="0.3">
      <c r="A104" s="1" t="s">
        <v>144</v>
      </c>
      <c r="B104" s="1" t="s">
        <v>145</v>
      </c>
      <c r="C104" s="1" t="s">
        <v>146</v>
      </c>
      <c r="D104" s="2" t="str">
        <f>HYPERLINK("https://inventaire.cncp.gouv.fr/fiches/3902/","3902")</f>
        <v>3902</v>
      </c>
      <c r="E104" s="2" t="str">
        <f>HYPERLINK("http://www.intercariforef.org/formations/certification-104123.html","104123")</f>
        <v>104123</v>
      </c>
      <c r="F104" s="3">
        <v>43398</v>
      </c>
      <c r="G104" s="3">
        <v>43398</v>
      </c>
    </row>
    <row r="105" spans="1:7" x14ac:dyDescent="0.3">
      <c r="A105" s="1" t="s">
        <v>144</v>
      </c>
      <c r="B105" s="1" t="s">
        <v>147</v>
      </c>
      <c r="C105" s="1" t="s">
        <v>148</v>
      </c>
      <c r="D105" s="2" t="str">
        <f>HYPERLINK("https://inventaire.cncp.gouv.fr/fiches/2918/","2918")</f>
        <v>2918</v>
      </c>
      <c r="E105" s="2" t="str">
        <f>HYPERLINK("http://www.intercariforef.org/formations/certification-96545.html","96545")</f>
        <v>96545</v>
      </c>
      <c r="F105" s="3">
        <v>42928</v>
      </c>
      <c r="G105" s="3">
        <v>42928</v>
      </c>
    </row>
    <row r="106" spans="1:7" x14ac:dyDescent="0.3">
      <c r="A106" s="1" t="s">
        <v>144</v>
      </c>
      <c r="B106" s="1" t="s">
        <v>149</v>
      </c>
      <c r="C106" s="1" t="s">
        <v>150</v>
      </c>
      <c r="D106" s="2" t="str">
        <f>HYPERLINK("https://inventaire.cncp.gouv.fr/fiches/2832/","2832")</f>
        <v>2832</v>
      </c>
      <c r="E106" s="2" t="str">
        <f>HYPERLINK("http://www.intercariforef.org/formations/certification-98393.html","98393")</f>
        <v>98393</v>
      </c>
      <c r="F106" s="3">
        <v>43027</v>
      </c>
      <c r="G106" s="3">
        <v>43027</v>
      </c>
    </row>
    <row r="107" spans="1:7" x14ac:dyDescent="0.3">
      <c r="A107" s="1" t="s">
        <v>144</v>
      </c>
      <c r="B107" s="1" t="s">
        <v>151</v>
      </c>
      <c r="C107" s="1" t="s">
        <v>150</v>
      </c>
      <c r="D107" s="2" t="str">
        <f>HYPERLINK("https://inventaire.cncp.gouv.fr/fiches/2834/","2834")</f>
        <v>2834</v>
      </c>
      <c r="E107" s="2" t="str">
        <f>HYPERLINK("http://www.intercariforef.org/formations/certification-98389.html","98389")</f>
        <v>98389</v>
      </c>
      <c r="F107" s="3">
        <v>43027</v>
      </c>
      <c r="G107" s="3">
        <v>43027</v>
      </c>
    </row>
    <row r="108" spans="1:7" x14ac:dyDescent="0.3">
      <c r="A108" s="1" t="s">
        <v>144</v>
      </c>
      <c r="B108" s="1" t="s">
        <v>152</v>
      </c>
      <c r="C108" s="1" t="s">
        <v>150</v>
      </c>
      <c r="D108" s="2" t="str">
        <f>HYPERLINK("https://inventaire.cncp.gouv.fr/fiches/2833/","2833")</f>
        <v>2833</v>
      </c>
      <c r="E108" s="2" t="str">
        <f>HYPERLINK("http://www.intercariforef.org/formations/certification-98391.html","98391")</f>
        <v>98391</v>
      </c>
      <c r="F108" s="3">
        <v>43027</v>
      </c>
      <c r="G108" s="3">
        <v>43027</v>
      </c>
    </row>
    <row r="109" spans="1:7" x14ac:dyDescent="0.3">
      <c r="A109" s="1" t="s">
        <v>144</v>
      </c>
      <c r="B109" s="1" t="s">
        <v>153</v>
      </c>
      <c r="C109" s="1" t="s">
        <v>154</v>
      </c>
      <c r="D109" s="2" t="str">
        <f>HYPERLINK("https://inventaire.cncp.gouv.fr/fiches/3061/","3061")</f>
        <v>3061</v>
      </c>
      <c r="E109" s="2" t="str">
        <f>HYPERLINK("http://www.intercariforef.org/formations/certification-99257.html","99257")</f>
        <v>99257</v>
      </c>
      <c r="F109" s="3">
        <v>43080</v>
      </c>
      <c r="G109" s="3">
        <v>43080</v>
      </c>
    </row>
    <row r="110" spans="1:7" x14ac:dyDescent="0.3">
      <c r="A110" s="1" t="s">
        <v>144</v>
      </c>
      <c r="B110" s="1" t="s">
        <v>155</v>
      </c>
      <c r="C110" s="1" t="s">
        <v>154</v>
      </c>
      <c r="D110" s="2" t="str">
        <f>HYPERLINK("https://inventaire.cncp.gouv.fr/fiches/3064/","3064")</f>
        <v>3064</v>
      </c>
      <c r="E110" s="2" t="str">
        <f>HYPERLINK("http://www.intercariforef.org/formations/certification-99259.html","99259")</f>
        <v>99259</v>
      </c>
      <c r="F110" s="3">
        <v>43080</v>
      </c>
      <c r="G110" s="3">
        <v>43080</v>
      </c>
    </row>
    <row r="111" spans="1:7" x14ac:dyDescent="0.3">
      <c r="A111" s="1" t="s">
        <v>144</v>
      </c>
      <c r="B111" s="1" t="s">
        <v>156</v>
      </c>
      <c r="C111" s="1" t="s">
        <v>157</v>
      </c>
      <c r="D111" s="2" t="str">
        <f>HYPERLINK("https://inventaire.cncp.gouv.fr/fiches/3329/","3329")</f>
        <v>3329</v>
      </c>
      <c r="E111" s="2" t="str">
        <f>HYPERLINK("http://www.intercariforef.org/formations/certification-101187.html","101187")</f>
        <v>101187</v>
      </c>
      <c r="F111" s="3">
        <v>43250</v>
      </c>
      <c r="G111" s="3">
        <v>43250</v>
      </c>
    </row>
    <row r="112" spans="1:7" x14ac:dyDescent="0.3">
      <c r="A112" s="1" t="s">
        <v>144</v>
      </c>
      <c r="B112" s="1" t="s">
        <v>158</v>
      </c>
      <c r="C112" s="1" t="s">
        <v>159</v>
      </c>
      <c r="D112" s="2" t="str">
        <f>HYPERLINK("https://inventaire.cncp.gouv.fr/fiches/3861/","3861")</f>
        <v>3861</v>
      </c>
      <c r="E112" s="2" t="str">
        <f>HYPERLINK("http://www.intercariforef.org/formations/certification-104135.html","104135")</f>
        <v>104135</v>
      </c>
      <c r="F112" s="3">
        <v>43398</v>
      </c>
      <c r="G112" s="3">
        <v>43398</v>
      </c>
    </row>
    <row r="113" spans="1:7" x14ac:dyDescent="0.3">
      <c r="A113" s="1" t="s">
        <v>144</v>
      </c>
      <c r="B113" s="1" t="s">
        <v>160</v>
      </c>
      <c r="C113" s="1" t="s">
        <v>161</v>
      </c>
      <c r="D113" s="2" t="str">
        <f>HYPERLINK("https://inventaire.cncp.gouv.fr/fiches/2827/","2827")</f>
        <v>2827</v>
      </c>
      <c r="E113" s="2" t="str">
        <f>HYPERLINK("http://www.intercariforef.org/formations/certification-95605.html","95605")</f>
        <v>95605</v>
      </c>
      <c r="F113" s="3">
        <v>42893</v>
      </c>
      <c r="G113" s="3">
        <v>42893</v>
      </c>
    </row>
    <row r="114" spans="1:7" x14ac:dyDescent="0.3">
      <c r="A114" s="1" t="s">
        <v>144</v>
      </c>
      <c r="B114" s="1" t="s">
        <v>162</v>
      </c>
      <c r="C114" s="1" t="s">
        <v>163</v>
      </c>
      <c r="D114" s="2" t="str">
        <f>HYPERLINK("https://inventaire.cncp.gouv.fr/fiches/3207/","3207")</f>
        <v>3207</v>
      </c>
      <c r="E114" s="2" t="str">
        <f>HYPERLINK("http://www.intercariforef.org/formations/certification-99195.html","99195")</f>
        <v>99195</v>
      </c>
      <c r="F114" s="3">
        <v>43076</v>
      </c>
      <c r="G114" s="3">
        <v>43076</v>
      </c>
    </row>
    <row r="115" spans="1:7" x14ac:dyDescent="0.3">
      <c r="A115" s="1" t="s">
        <v>144</v>
      </c>
      <c r="B115" s="1" t="s">
        <v>164</v>
      </c>
      <c r="C115" s="1" t="s">
        <v>146</v>
      </c>
      <c r="D115" s="2" t="str">
        <f>HYPERLINK("https://inventaire.cncp.gouv.fr/fiches/3795/","3795")</f>
        <v>3795</v>
      </c>
      <c r="E115" s="2" t="str">
        <f>HYPERLINK("http://www.intercariforef.org/formations/certification-104153.html","104153")</f>
        <v>104153</v>
      </c>
      <c r="F115" s="3">
        <v>43398</v>
      </c>
      <c r="G115" s="3">
        <v>43398</v>
      </c>
    </row>
    <row r="116" spans="1:7" x14ac:dyDescent="0.3">
      <c r="A116" s="1" t="s">
        <v>165</v>
      </c>
      <c r="B116" s="1" t="s">
        <v>166</v>
      </c>
      <c r="C116" s="1" t="s">
        <v>150</v>
      </c>
      <c r="D116" s="2" t="str">
        <f>HYPERLINK("https://inventaire.cncp.gouv.fr/fiches/2692/","2692")</f>
        <v>2692</v>
      </c>
      <c r="E116" s="2" t="str">
        <f>HYPERLINK("http://www.intercariforef.org/formations/certification-98543.html","98543")</f>
        <v>98543</v>
      </c>
      <c r="F116" s="3">
        <v>43034</v>
      </c>
      <c r="G116" s="3">
        <v>43034</v>
      </c>
    </row>
    <row r="117" spans="1:7" x14ac:dyDescent="0.3">
      <c r="A117" s="1" t="s">
        <v>165</v>
      </c>
      <c r="B117" s="1" t="s">
        <v>167</v>
      </c>
      <c r="C117" s="1" t="s">
        <v>150</v>
      </c>
      <c r="D117" s="2" t="str">
        <f>HYPERLINK("https://inventaire.cncp.gouv.fr/fiches/2783/","2783")</f>
        <v>2783</v>
      </c>
      <c r="E117" s="2" t="str">
        <f>HYPERLINK("http://www.intercariforef.org/formations/certification-99237.html","99237")</f>
        <v>99237</v>
      </c>
      <c r="F117" s="3">
        <v>43080</v>
      </c>
      <c r="G117" s="3">
        <v>43080</v>
      </c>
    </row>
    <row r="118" spans="1:7" x14ac:dyDescent="0.3">
      <c r="A118" s="1" t="s">
        <v>165</v>
      </c>
      <c r="B118" s="1" t="s">
        <v>168</v>
      </c>
      <c r="C118" s="1" t="s">
        <v>169</v>
      </c>
      <c r="D118" s="2" t="str">
        <f>HYPERLINK("https://inventaire.cncp.gouv.fr/fiches/3715/","3715")</f>
        <v>3715</v>
      </c>
      <c r="E118" s="2" t="str">
        <f>HYPERLINK("http://www.intercariforef.org/formations/certification-103965.html","103965")</f>
        <v>103965</v>
      </c>
      <c r="F118" s="3">
        <v>43391</v>
      </c>
      <c r="G118" s="3">
        <v>43391</v>
      </c>
    </row>
    <row r="119" spans="1:7" ht="26.2" x14ac:dyDescent="0.3">
      <c r="A119" s="1" t="s">
        <v>165</v>
      </c>
      <c r="B119" s="1" t="s">
        <v>170</v>
      </c>
      <c r="C119" s="1" t="s">
        <v>171</v>
      </c>
      <c r="D119" s="2" t="str">
        <f>HYPERLINK("https://inventaire.cncp.gouv.fr/fiches/2492/","2492")</f>
        <v>2492</v>
      </c>
      <c r="E119" s="2" t="str">
        <f>HYPERLINK("http://www.intercariforef.org/formations/certification-98387.html","98387")</f>
        <v>98387</v>
      </c>
      <c r="F119" s="3">
        <v>43027</v>
      </c>
      <c r="G119" s="3">
        <v>43027</v>
      </c>
    </row>
    <row r="120" spans="1:7" ht="26.2" x14ac:dyDescent="0.3">
      <c r="A120" s="1" t="s">
        <v>172</v>
      </c>
      <c r="B120" s="1" t="s">
        <v>173</v>
      </c>
      <c r="C120" s="1" t="s">
        <v>174</v>
      </c>
      <c r="D120" s="2" t="str">
        <f>HYPERLINK("https://inventaire.cncp.gouv.fr/fiches/3468/","3468")</f>
        <v>3468</v>
      </c>
      <c r="E120" s="2" t="str">
        <f>HYPERLINK("http://www.intercariforef.org/formations/certification-100587.html","100587")</f>
        <v>100587</v>
      </c>
      <c r="F120" s="3">
        <v>43193</v>
      </c>
      <c r="G120" s="3">
        <v>43193</v>
      </c>
    </row>
    <row r="121" spans="1:7" x14ac:dyDescent="0.3">
      <c r="A121" s="1" t="s">
        <v>172</v>
      </c>
      <c r="B121" s="1" t="s">
        <v>175</v>
      </c>
      <c r="C121" s="1" t="s">
        <v>174</v>
      </c>
      <c r="D121" s="2" t="str">
        <f>HYPERLINK("https://inventaire.cncp.gouv.fr/fiches/3445/","3445")</f>
        <v>3445</v>
      </c>
      <c r="E121" s="2" t="str">
        <f>HYPERLINK("http://www.intercariforef.org/formations/certification-100001.html","100001")</f>
        <v>100001</v>
      </c>
      <c r="F121" s="3">
        <v>43151</v>
      </c>
      <c r="G121" s="3">
        <v>43151</v>
      </c>
    </row>
    <row r="122" spans="1:7" ht="26.2" x14ac:dyDescent="0.3">
      <c r="A122" s="1" t="s">
        <v>172</v>
      </c>
      <c r="B122" s="1" t="s">
        <v>176</v>
      </c>
      <c r="C122" s="1" t="s">
        <v>174</v>
      </c>
      <c r="D122" s="2" t="str">
        <f>HYPERLINK("https://inventaire.cncp.gouv.fr/fiches/3455/","3455")</f>
        <v>3455</v>
      </c>
      <c r="E122" s="2" t="str">
        <f>HYPERLINK("http://www.intercariforef.org/formations/certification-100609.html","100609")</f>
        <v>100609</v>
      </c>
      <c r="F122" s="3">
        <v>43193</v>
      </c>
      <c r="G122" s="3">
        <v>43193</v>
      </c>
    </row>
    <row r="123" spans="1:7" ht="26.2" x14ac:dyDescent="0.3">
      <c r="A123" s="1" t="s">
        <v>172</v>
      </c>
      <c r="B123" s="1" t="s">
        <v>177</v>
      </c>
      <c r="C123" s="1" t="s">
        <v>174</v>
      </c>
      <c r="D123" s="2" t="str">
        <f>HYPERLINK("https://inventaire.cncp.gouv.fr/fiches/3454/","3454")</f>
        <v>3454</v>
      </c>
      <c r="E123" s="2" t="str">
        <f>HYPERLINK("http://www.intercariforef.org/formations/certification-100611.html","100611")</f>
        <v>100611</v>
      </c>
      <c r="F123" s="3">
        <v>43193</v>
      </c>
      <c r="G123" s="3">
        <v>43193</v>
      </c>
    </row>
    <row r="124" spans="1:7" ht="26.2" x14ac:dyDescent="0.3">
      <c r="A124" s="1" t="s">
        <v>172</v>
      </c>
      <c r="B124" s="1" t="s">
        <v>178</v>
      </c>
      <c r="C124" s="1" t="s">
        <v>174</v>
      </c>
      <c r="D124" s="2" t="str">
        <f>HYPERLINK("https://inventaire.cncp.gouv.fr/fiches/3466/","3466")</f>
        <v>3466</v>
      </c>
      <c r="E124" s="2" t="str">
        <f>HYPERLINK("http://www.intercariforef.org/formations/certification-100591.html","100591")</f>
        <v>100591</v>
      </c>
      <c r="F124" s="3">
        <v>43193</v>
      </c>
      <c r="G124" s="3">
        <v>43193</v>
      </c>
    </row>
    <row r="125" spans="1:7" x14ac:dyDescent="0.3">
      <c r="A125" s="1" t="s">
        <v>172</v>
      </c>
      <c r="B125" s="1" t="s">
        <v>179</v>
      </c>
      <c r="C125" s="1" t="s">
        <v>174</v>
      </c>
      <c r="D125" s="2" t="str">
        <f>HYPERLINK("https://inventaire.cncp.gouv.fr/fiches/3473/","3473")</f>
        <v>3473</v>
      </c>
      <c r="E125" s="2" t="str">
        <f>HYPERLINK("http://www.intercariforef.org/formations/certification-100573.html","100573")</f>
        <v>100573</v>
      </c>
      <c r="F125" s="3">
        <v>43193</v>
      </c>
      <c r="G125" s="3">
        <v>43193</v>
      </c>
    </row>
    <row r="126" spans="1:7" x14ac:dyDescent="0.3">
      <c r="A126" s="1" t="s">
        <v>172</v>
      </c>
      <c r="B126" s="1" t="s">
        <v>180</v>
      </c>
      <c r="C126" s="1" t="s">
        <v>174</v>
      </c>
      <c r="D126" s="2" t="str">
        <f>HYPERLINK("https://inventaire.cncp.gouv.fr/fiches/3462/","3462")</f>
        <v>3462</v>
      </c>
      <c r="E126" s="2" t="str">
        <f>HYPERLINK("http://www.intercariforef.org/formations/certification-100599.html","100599")</f>
        <v>100599</v>
      </c>
      <c r="F126" s="3">
        <v>43193</v>
      </c>
      <c r="G126" s="3">
        <v>43193</v>
      </c>
    </row>
    <row r="127" spans="1:7" x14ac:dyDescent="0.3">
      <c r="A127" s="1" t="s">
        <v>172</v>
      </c>
      <c r="B127" s="1" t="s">
        <v>181</v>
      </c>
      <c r="C127" s="1" t="s">
        <v>174</v>
      </c>
      <c r="D127" s="2" t="str">
        <f>HYPERLINK("https://inventaire.cncp.gouv.fr/fiches/3470/","3470")</f>
        <v>3470</v>
      </c>
      <c r="E127" s="2" t="str">
        <f>HYPERLINK("http://www.intercariforef.org/formations/certification-100581.html","100581")</f>
        <v>100581</v>
      </c>
      <c r="F127" s="3">
        <v>43193</v>
      </c>
      <c r="G127" s="3">
        <v>43193</v>
      </c>
    </row>
    <row r="128" spans="1:7" x14ac:dyDescent="0.3">
      <c r="A128" s="1" t="s">
        <v>172</v>
      </c>
      <c r="B128" s="1" t="s">
        <v>182</v>
      </c>
      <c r="C128" s="1" t="s">
        <v>174</v>
      </c>
      <c r="D128" s="2" t="str">
        <f>HYPERLINK("https://inventaire.cncp.gouv.fr/fiches/3472/","3472")</f>
        <v>3472</v>
      </c>
      <c r="E128" s="2" t="str">
        <f>HYPERLINK("http://www.intercariforef.org/formations/certification-100575.html","100575")</f>
        <v>100575</v>
      </c>
      <c r="F128" s="3">
        <v>43193</v>
      </c>
      <c r="G128" s="3">
        <v>43193</v>
      </c>
    </row>
    <row r="129" spans="1:7" x14ac:dyDescent="0.3">
      <c r="A129" s="1" t="s">
        <v>172</v>
      </c>
      <c r="B129" s="1" t="s">
        <v>183</v>
      </c>
      <c r="C129" s="1" t="s">
        <v>174</v>
      </c>
      <c r="D129" s="2" t="str">
        <f>HYPERLINK("https://inventaire.cncp.gouv.fr/fiches/3469/","3469")</f>
        <v>3469</v>
      </c>
      <c r="E129" s="2" t="str">
        <f>HYPERLINK("http://www.intercariforef.org/formations/certification-100585.html","100585")</f>
        <v>100585</v>
      </c>
      <c r="F129" s="3">
        <v>43193</v>
      </c>
      <c r="G129" s="3">
        <v>43193</v>
      </c>
    </row>
    <row r="130" spans="1:7" x14ac:dyDescent="0.3">
      <c r="A130" s="1" t="s">
        <v>172</v>
      </c>
      <c r="B130" s="1" t="s">
        <v>184</v>
      </c>
      <c r="C130" s="1" t="s">
        <v>174</v>
      </c>
      <c r="D130" s="2" t="str">
        <f>HYPERLINK("https://inventaire.cncp.gouv.fr/fiches/3471/","3471")</f>
        <v>3471</v>
      </c>
      <c r="E130" s="2" t="str">
        <f>HYPERLINK("http://www.intercariforef.org/formations/certification-100577.html","100577")</f>
        <v>100577</v>
      </c>
      <c r="F130" s="3">
        <v>43193</v>
      </c>
      <c r="G130" s="3">
        <v>43193</v>
      </c>
    </row>
    <row r="131" spans="1:7" ht="26.2" x14ac:dyDescent="0.3">
      <c r="A131" s="1" t="s">
        <v>172</v>
      </c>
      <c r="B131" s="1" t="s">
        <v>185</v>
      </c>
      <c r="C131" s="1" t="s">
        <v>186</v>
      </c>
      <c r="D131" s="2" t="str">
        <f>HYPERLINK("https://inventaire.cncp.gouv.fr/fiches/3384/","3384")</f>
        <v>3384</v>
      </c>
      <c r="E131" s="2" t="str">
        <f>HYPERLINK("http://www.intercariforef.org/formations/certification-100667.html","100667")</f>
        <v>100667</v>
      </c>
      <c r="F131" s="3">
        <v>43194</v>
      </c>
      <c r="G131" s="3">
        <v>43194</v>
      </c>
    </row>
    <row r="132" spans="1:7" x14ac:dyDescent="0.3">
      <c r="A132" s="1" t="s">
        <v>172</v>
      </c>
      <c r="B132" s="1" t="s">
        <v>187</v>
      </c>
      <c r="C132" s="1" t="s">
        <v>186</v>
      </c>
      <c r="D132" s="2" t="str">
        <f>HYPERLINK("https://inventaire.cncp.gouv.fr/fiches/1980/","1980")</f>
        <v>1980</v>
      </c>
      <c r="E132" s="2" t="str">
        <f>HYPERLINK("http://www.intercariforef.org/formations/certification-88593.html","88593")</f>
        <v>88593</v>
      </c>
      <c r="F132" s="3">
        <v>42482</v>
      </c>
      <c r="G132" s="3">
        <v>42482</v>
      </c>
    </row>
    <row r="133" spans="1:7" x14ac:dyDescent="0.3">
      <c r="A133" s="1" t="s">
        <v>172</v>
      </c>
      <c r="B133" s="1" t="s">
        <v>188</v>
      </c>
      <c r="C133" s="1" t="s">
        <v>186</v>
      </c>
      <c r="D133" s="2" t="str">
        <f>HYPERLINK("https://inventaire.cncp.gouv.fr/fiches/1981/","1981")</f>
        <v>1981</v>
      </c>
      <c r="E133" s="2" t="str">
        <f>HYPERLINK("http://www.intercariforef.org/formations/certification-88595.html","88595")</f>
        <v>88595</v>
      </c>
      <c r="F133" s="3">
        <v>42482</v>
      </c>
      <c r="G133" s="3">
        <v>42482</v>
      </c>
    </row>
    <row r="134" spans="1:7" x14ac:dyDescent="0.3">
      <c r="A134" s="1" t="s">
        <v>172</v>
      </c>
      <c r="B134" s="1" t="s">
        <v>189</v>
      </c>
      <c r="C134" s="1" t="s">
        <v>186</v>
      </c>
      <c r="D134" s="2" t="str">
        <f>HYPERLINK("https://inventaire.cncp.gouv.fr/fiches/1982/","1982")</f>
        <v>1982</v>
      </c>
      <c r="E134" s="2" t="str">
        <f>HYPERLINK("http://www.intercariforef.org/formations/certification-88597.html","88597")</f>
        <v>88597</v>
      </c>
      <c r="F134" s="3">
        <v>42482</v>
      </c>
      <c r="G134" s="3">
        <v>42482</v>
      </c>
    </row>
    <row r="135" spans="1:7" x14ac:dyDescent="0.3">
      <c r="A135" s="1" t="s">
        <v>172</v>
      </c>
      <c r="B135" s="1" t="s">
        <v>190</v>
      </c>
      <c r="C135" s="1" t="s">
        <v>186</v>
      </c>
      <c r="D135" s="2" t="str">
        <f>HYPERLINK("https://inventaire.cncp.gouv.fr/fiches/1983/","1983")</f>
        <v>1983</v>
      </c>
      <c r="E135" s="2" t="str">
        <f>HYPERLINK("http://www.intercariforef.org/formations/certification-88591.html","88591")</f>
        <v>88591</v>
      </c>
      <c r="F135" s="3">
        <v>42482</v>
      </c>
      <c r="G135" s="3">
        <v>43194</v>
      </c>
    </row>
    <row r="136" spans="1:7" x14ac:dyDescent="0.3">
      <c r="A136" s="1" t="s">
        <v>172</v>
      </c>
      <c r="B136" s="1" t="s">
        <v>191</v>
      </c>
      <c r="C136" s="1" t="s">
        <v>192</v>
      </c>
      <c r="D136" s="2" t="str">
        <f>HYPERLINK("https://inventaire.cncp.gouv.fr/fiches/3483/","3483")</f>
        <v>3483</v>
      </c>
      <c r="E136" s="2" t="str">
        <f>HYPERLINK("http://www.intercariforef.org/formations/certification-101175.html","101175")</f>
        <v>101175</v>
      </c>
      <c r="F136" s="3">
        <v>43250</v>
      </c>
      <c r="G136" s="3">
        <v>43250</v>
      </c>
    </row>
    <row r="137" spans="1:7" x14ac:dyDescent="0.3">
      <c r="A137" s="1" t="s">
        <v>172</v>
      </c>
      <c r="B137" s="1" t="s">
        <v>193</v>
      </c>
      <c r="C137" s="1" t="s">
        <v>174</v>
      </c>
      <c r="D137" s="2" t="str">
        <f>HYPERLINK("https://inventaire.cncp.gouv.fr/fiches/3458/","3458")</f>
        <v>3458</v>
      </c>
      <c r="E137" s="2" t="str">
        <f>HYPERLINK("http://www.intercariforef.org/formations/certification-100607.html","100607")</f>
        <v>100607</v>
      </c>
      <c r="F137" s="3">
        <v>43193</v>
      </c>
      <c r="G137" s="3">
        <v>43193</v>
      </c>
    </row>
    <row r="138" spans="1:7" ht="26.2" x14ac:dyDescent="0.3">
      <c r="A138" s="1" t="s">
        <v>172</v>
      </c>
      <c r="B138" s="1" t="s">
        <v>194</v>
      </c>
      <c r="C138" s="1" t="s">
        <v>174</v>
      </c>
      <c r="D138" s="2" t="str">
        <f>HYPERLINK("https://inventaire.cncp.gouv.fr/fiches/3460/","3460")</f>
        <v>3460</v>
      </c>
      <c r="E138" s="2" t="str">
        <f>HYPERLINK("http://www.intercariforef.org/formations/certification-100603.html","100603")</f>
        <v>100603</v>
      </c>
      <c r="F138" s="3">
        <v>43193</v>
      </c>
      <c r="G138" s="3">
        <v>43193</v>
      </c>
    </row>
    <row r="139" spans="1:7" ht="26.2" x14ac:dyDescent="0.3">
      <c r="A139" s="1" t="s">
        <v>172</v>
      </c>
      <c r="B139" s="1" t="s">
        <v>195</v>
      </c>
      <c r="C139" s="1" t="s">
        <v>174</v>
      </c>
      <c r="D139" s="2" t="str">
        <f>HYPERLINK("https://inventaire.cncp.gouv.fr/fiches/3459/","3459")</f>
        <v>3459</v>
      </c>
      <c r="E139" s="2" t="str">
        <f>HYPERLINK("http://www.intercariforef.org/formations/certification-100605.html","100605")</f>
        <v>100605</v>
      </c>
      <c r="F139" s="3">
        <v>43193</v>
      </c>
      <c r="G139" s="3">
        <v>43193</v>
      </c>
    </row>
    <row r="140" spans="1:7" x14ac:dyDescent="0.3">
      <c r="A140" s="1" t="s">
        <v>172</v>
      </c>
      <c r="B140" s="1" t="s">
        <v>196</v>
      </c>
      <c r="C140" s="1" t="s">
        <v>174</v>
      </c>
      <c r="D140" s="2" t="str">
        <f>HYPERLINK("https://inventaire.cncp.gouv.fr/fiches/3463/","3463")</f>
        <v>3463</v>
      </c>
      <c r="E140" s="2" t="str">
        <f>HYPERLINK("http://www.intercariforef.org/formations/certification-100597.html","100597")</f>
        <v>100597</v>
      </c>
      <c r="F140" s="3">
        <v>43193</v>
      </c>
      <c r="G140" s="3">
        <v>43193</v>
      </c>
    </row>
    <row r="141" spans="1:7" ht="26.2" x14ac:dyDescent="0.3">
      <c r="A141" s="1" t="s">
        <v>172</v>
      </c>
      <c r="B141" s="1" t="s">
        <v>197</v>
      </c>
      <c r="C141" s="1" t="s">
        <v>174</v>
      </c>
      <c r="D141" s="2" t="str">
        <f>HYPERLINK("https://inventaire.cncp.gouv.fr/fiches/3451/","3451")</f>
        <v>3451</v>
      </c>
      <c r="E141" s="2" t="str">
        <f>HYPERLINK("http://www.intercariforef.org/formations/certification-99991.html","99991")</f>
        <v>99991</v>
      </c>
      <c r="F141" s="3">
        <v>43151</v>
      </c>
      <c r="G141" s="3">
        <v>43151</v>
      </c>
    </row>
    <row r="142" spans="1:7" ht="26.2" x14ac:dyDescent="0.3">
      <c r="A142" s="1" t="s">
        <v>172</v>
      </c>
      <c r="B142" s="1" t="s">
        <v>198</v>
      </c>
      <c r="C142" s="1" t="s">
        <v>174</v>
      </c>
      <c r="D142" s="2" t="str">
        <f>HYPERLINK("https://inventaire.cncp.gouv.fr/fiches/3461/","3461")</f>
        <v>3461</v>
      </c>
      <c r="E142" s="2" t="str">
        <f>HYPERLINK("http://www.intercariforef.org/formations/certification-100601.html","100601")</f>
        <v>100601</v>
      </c>
      <c r="F142" s="3">
        <v>43193</v>
      </c>
      <c r="G142" s="3">
        <v>43193</v>
      </c>
    </row>
    <row r="143" spans="1:7" ht="26.2" x14ac:dyDescent="0.3">
      <c r="A143" s="1" t="s">
        <v>172</v>
      </c>
      <c r="B143" s="1" t="s">
        <v>199</v>
      </c>
      <c r="C143" s="1" t="s">
        <v>174</v>
      </c>
      <c r="D143" s="2" t="str">
        <f>HYPERLINK("https://inventaire.cncp.gouv.fr/fiches/3450/","3450")</f>
        <v>3450</v>
      </c>
      <c r="E143" s="2" t="str">
        <f>HYPERLINK("http://www.intercariforef.org/formations/certification-99993.html","99993")</f>
        <v>99993</v>
      </c>
      <c r="F143" s="3">
        <v>43151</v>
      </c>
      <c r="G143" s="3">
        <v>43151</v>
      </c>
    </row>
    <row r="144" spans="1:7" x14ac:dyDescent="0.3">
      <c r="A144" s="1" t="s">
        <v>172</v>
      </c>
      <c r="B144" s="1" t="s">
        <v>200</v>
      </c>
      <c r="C144" s="1" t="s">
        <v>174</v>
      </c>
      <c r="D144" s="2" t="str">
        <f>HYPERLINK("https://inventaire.cncp.gouv.fr/fiches/3448/","3448")</f>
        <v>3448</v>
      </c>
      <c r="E144" s="2" t="str">
        <f>HYPERLINK("http://www.intercariforef.org/formations/certification-99997.html","99997")</f>
        <v>99997</v>
      </c>
      <c r="F144" s="3">
        <v>43151</v>
      </c>
      <c r="G144" s="3">
        <v>43151</v>
      </c>
    </row>
    <row r="145" spans="1:7" x14ac:dyDescent="0.3">
      <c r="A145" s="1" t="s">
        <v>172</v>
      </c>
      <c r="B145" s="1" t="s">
        <v>201</v>
      </c>
      <c r="C145" s="1" t="s">
        <v>174</v>
      </c>
      <c r="D145" s="2" t="str">
        <f>HYPERLINK("https://inventaire.cncp.gouv.fr/fiches/3465/","3465")</f>
        <v>3465</v>
      </c>
      <c r="E145" s="2" t="str">
        <f>HYPERLINK("http://www.intercariforef.org/formations/certification-100593.html","100593")</f>
        <v>100593</v>
      </c>
      <c r="F145" s="3">
        <v>43193</v>
      </c>
      <c r="G145" s="3">
        <v>43193</v>
      </c>
    </row>
    <row r="146" spans="1:7" ht="26.2" x14ac:dyDescent="0.3">
      <c r="A146" s="1" t="s">
        <v>172</v>
      </c>
      <c r="B146" s="1" t="s">
        <v>202</v>
      </c>
      <c r="C146" s="1" t="s">
        <v>174</v>
      </c>
      <c r="D146" s="2" t="str">
        <f>HYPERLINK("https://inventaire.cncp.gouv.fr/fiches/3449/","3449")</f>
        <v>3449</v>
      </c>
      <c r="E146" s="2" t="str">
        <f>HYPERLINK("http://www.intercariforef.org/formations/certification-99995.html","99995")</f>
        <v>99995</v>
      </c>
      <c r="F146" s="3">
        <v>43151</v>
      </c>
      <c r="G146" s="3">
        <v>43151</v>
      </c>
    </row>
    <row r="147" spans="1:7" x14ac:dyDescent="0.3">
      <c r="A147" s="1" t="s">
        <v>172</v>
      </c>
      <c r="B147" s="1" t="s">
        <v>203</v>
      </c>
      <c r="C147" s="1" t="s">
        <v>174</v>
      </c>
      <c r="D147" s="2" t="str">
        <f>HYPERLINK("https://inventaire.cncp.gouv.fr/fiches/3452/","3452")</f>
        <v>3452</v>
      </c>
      <c r="E147" s="2" t="str">
        <f>HYPERLINK("http://www.intercariforef.org/formations/certification-100613.html","100613")</f>
        <v>100613</v>
      </c>
      <c r="F147" s="3">
        <v>43193</v>
      </c>
      <c r="G147" s="3">
        <v>43193</v>
      </c>
    </row>
    <row r="148" spans="1:7" x14ac:dyDescent="0.3">
      <c r="A148" s="1" t="s">
        <v>172</v>
      </c>
      <c r="B148" s="1" t="s">
        <v>204</v>
      </c>
      <c r="C148" s="1" t="s">
        <v>174</v>
      </c>
      <c r="D148" s="2" t="str">
        <f>HYPERLINK("https://inventaire.cncp.gouv.fr/fiches/3464/","3464")</f>
        <v>3464</v>
      </c>
      <c r="E148" s="2" t="str">
        <f>HYPERLINK("http://www.intercariforef.org/formations/certification-100595.html","100595")</f>
        <v>100595</v>
      </c>
      <c r="F148" s="3">
        <v>43193</v>
      </c>
      <c r="G148" s="3">
        <v>43193</v>
      </c>
    </row>
    <row r="149" spans="1:7" ht="26.2" x14ac:dyDescent="0.3">
      <c r="A149" s="1" t="s">
        <v>172</v>
      </c>
      <c r="B149" s="1" t="s">
        <v>205</v>
      </c>
      <c r="C149" s="1" t="s">
        <v>174</v>
      </c>
      <c r="D149" s="2" t="str">
        <f>HYPERLINK("https://inventaire.cncp.gouv.fr/fiches/3467/","3467")</f>
        <v>3467</v>
      </c>
      <c r="E149" s="2" t="str">
        <f>HYPERLINK("http://www.intercariforef.org/formations/certification-100589.html","100589")</f>
        <v>100589</v>
      </c>
      <c r="F149" s="3">
        <v>43193</v>
      </c>
      <c r="G149" s="3">
        <v>43193</v>
      </c>
    </row>
    <row r="150" spans="1:7" x14ac:dyDescent="0.3">
      <c r="A150" s="1" t="s">
        <v>206</v>
      </c>
      <c r="B150" s="1" t="s">
        <v>207</v>
      </c>
      <c r="C150" s="1" t="s">
        <v>208</v>
      </c>
      <c r="D150" s="2" t="str">
        <f>HYPERLINK("https://inventaire.cncp.gouv.fr/fiches/2493/","2493")</f>
        <v>2493</v>
      </c>
      <c r="E150" s="2" t="str">
        <f>HYPERLINK("http://www.intercariforef.org/formations/certification-93795.html","93795")</f>
        <v>93795</v>
      </c>
      <c r="F150" s="3">
        <v>42725</v>
      </c>
      <c r="G150" s="3">
        <v>42725</v>
      </c>
    </row>
    <row r="151" spans="1:7" x14ac:dyDescent="0.3">
      <c r="A151" s="1" t="s">
        <v>206</v>
      </c>
      <c r="B151" s="1" t="s">
        <v>209</v>
      </c>
      <c r="C151" s="1" t="s">
        <v>210</v>
      </c>
      <c r="D151" s="2" t="str">
        <f>HYPERLINK("https://inventaire.cncp.gouv.fr/fiches/3025/","3025")</f>
        <v>3025</v>
      </c>
      <c r="E151" s="2" t="str">
        <f>HYPERLINK("http://www.intercariforef.org/formations/certification-98527.html","98527")</f>
        <v>98527</v>
      </c>
      <c r="F151" s="3">
        <v>43033</v>
      </c>
      <c r="G151" s="3">
        <v>43033</v>
      </c>
    </row>
    <row r="152" spans="1:7" x14ac:dyDescent="0.3">
      <c r="A152" s="1" t="s">
        <v>206</v>
      </c>
      <c r="B152" s="1" t="s">
        <v>211</v>
      </c>
      <c r="C152" s="1" t="s">
        <v>212</v>
      </c>
      <c r="D152" s="2" t="str">
        <f>HYPERLINK("https://inventaire.cncp.gouv.fr/fiches/2993/","2993")</f>
        <v>2993</v>
      </c>
      <c r="E152" s="2" t="str">
        <f>HYPERLINK("http://www.intercariforef.org/formations/certification-101485.html","101485")</f>
        <v>101485</v>
      </c>
      <c r="F152" s="3">
        <v>43265</v>
      </c>
      <c r="G152" s="3">
        <v>43265</v>
      </c>
    </row>
    <row r="153" spans="1:7" x14ac:dyDescent="0.3">
      <c r="A153" s="1" t="s">
        <v>206</v>
      </c>
      <c r="B153" s="1" t="s">
        <v>213</v>
      </c>
      <c r="C153" s="1" t="s">
        <v>212</v>
      </c>
      <c r="D153" s="2" t="str">
        <f>HYPERLINK("https://inventaire.cncp.gouv.fr/fiches/2998/","2998")</f>
        <v>2998</v>
      </c>
      <c r="E153" s="2" t="str">
        <f>HYPERLINK("http://www.intercariforef.org/formations/certification-101477.html","101477")</f>
        <v>101477</v>
      </c>
      <c r="F153" s="3">
        <v>43265</v>
      </c>
      <c r="G153" s="3">
        <v>43265</v>
      </c>
    </row>
    <row r="154" spans="1:7" x14ac:dyDescent="0.3">
      <c r="A154" s="1" t="s">
        <v>206</v>
      </c>
      <c r="B154" s="1" t="s">
        <v>214</v>
      </c>
      <c r="C154" s="1" t="s">
        <v>212</v>
      </c>
      <c r="D154" s="2" t="str">
        <f>HYPERLINK("https://inventaire.cncp.gouv.fr/fiches/2995/","2995")</f>
        <v>2995</v>
      </c>
      <c r="E154" s="2" t="str">
        <f>HYPERLINK("http://www.intercariforef.org/formations/certification-101481.html","101481")</f>
        <v>101481</v>
      </c>
      <c r="F154" s="3">
        <v>43265</v>
      </c>
      <c r="G154" s="3">
        <v>43265</v>
      </c>
    </row>
    <row r="155" spans="1:7" x14ac:dyDescent="0.3">
      <c r="A155" s="1" t="s">
        <v>206</v>
      </c>
      <c r="B155" s="1" t="s">
        <v>215</v>
      </c>
      <c r="C155" s="1" t="s">
        <v>212</v>
      </c>
      <c r="D155" s="2" t="str">
        <f>HYPERLINK("https://inventaire.cncp.gouv.fr/fiches/2996/","2996")</f>
        <v>2996</v>
      </c>
      <c r="E155" s="2" t="str">
        <f>HYPERLINK("http://www.intercariforef.org/formations/certification-101479.html","101479")</f>
        <v>101479</v>
      </c>
      <c r="F155" s="3">
        <v>43265</v>
      </c>
      <c r="G155" s="3">
        <v>43265</v>
      </c>
    </row>
    <row r="156" spans="1:7" x14ac:dyDescent="0.3">
      <c r="A156" s="1" t="s">
        <v>206</v>
      </c>
      <c r="B156" s="1" t="s">
        <v>216</v>
      </c>
      <c r="C156" s="1" t="s">
        <v>212</v>
      </c>
      <c r="D156" s="2" t="str">
        <f>HYPERLINK("https://inventaire.cncp.gouv.fr/fiches/2991/","2991")</f>
        <v>2991</v>
      </c>
      <c r="E156" s="2" t="str">
        <f>HYPERLINK("http://www.intercariforef.org/formations/certification-101487.html","101487")</f>
        <v>101487</v>
      </c>
      <c r="F156" s="3">
        <v>43265</v>
      </c>
      <c r="G156" s="3">
        <v>43265</v>
      </c>
    </row>
    <row r="157" spans="1:7" ht="26.2" x14ac:dyDescent="0.3">
      <c r="A157" s="1" t="s">
        <v>206</v>
      </c>
      <c r="B157" s="1" t="s">
        <v>217</v>
      </c>
      <c r="C157" s="1" t="s">
        <v>218</v>
      </c>
      <c r="D157" s="2" t="str">
        <f>HYPERLINK("https://inventaire.cncp.gouv.fr/fiches/816/","816")</f>
        <v>816</v>
      </c>
      <c r="E157" s="2" t="str">
        <f>HYPERLINK("http://www.intercariforef.org/formations/certification-84757.html","84757")</f>
        <v>84757</v>
      </c>
      <c r="F157" s="3">
        <v>42159</v>
      </c>
      <c r="G157" s="3">
        <v>43129</v>
      </c>
    </row>
    <row r="158" spans="1:7" ht="26.2" x14ac:dyDescent="0.3">
      <c r="A158" s="1" t="s">
        <v>206</v>
      </c>
      <c r="B158" s="1" t="s">
        <v>219</v>
      </c>
      <c r="C158" s="1" t="s">
        <v>218</v>
      </c>
      <c r="D158" s="2" t="str">
        <f>HYPERLINK("https://inventaire.cncp.gouv.fr/fiches/818/","818")</f>
        <v>818</v>
      </c>
      <c r="E158" s="2" t="str">
        <f>HYPERLINK("http://www.intercariforef.org/formations/certification-84758.html","84758")</f>
        <v>84758</v>
      </c>
      <c r="F158" s="3">
        <v>42159</v>
      </c>
      <c r="G158" s="3">
        <v>43129</v>
      </c>
    </row>
    <row r="159" spans="1:7" x14ac:dyDescent="0.3">
      <c r="A159" s="1" t="s">
        <v>206</v>
      </c>
      <c r="B159" s="1" t="s">
        <v>220</v>
      </c>
      <c r="C159" s="1" t="s">
        <v>212</v>
      </c>
      <c r="D159" s="2" t="str">
        <f>HYPERLINK("https://inventaire.cncp.gouv.fr/fiches/2986/","2986")</f>
        <v>2986</v>
      </c>
      <c r="E159" s="2" t="str">
        <f>HYPERLINK("http://www.intercariforef.org/formations/certification-101493.html","101493")</f>
        <v>101493</v>
      </c>
      <c r="F159" s="3">
        <v>43265</v>
      </c>
      <c r="G159" s="3">
        <v>43265</v>
      </c>
    </row>
    <row r="160" spans="1:7" x14ac:dyDescent="0.3">
      <c r="A160" s="1" t="s">
        <v>206</v>
      </c>
      <c r="B160" s="1" t="s">
        <v>221</v>
      </c>
      <c r="C160" s="1" t="s">
        <v>222</v>
      </c>
      <c r="D160" s="2" t="str">
        <f>HYPERLINK("https://inventaire.cncp.gouv.fr/fiches/3073/","3073")</f>
        <v>3073</v>
      </c>
      <c r="E160" s="2" t="str">
        <f>HYPERLINK("http://www.intercariforef.org/formations/certification-104059.html","104059")</f>
        <v>104059</v>
      </c>
      <c r="F160" s="3">
        <v>43395</v>
      </c>
      <c r="G160" s="3">
        <v>43395</v>
      </c>
    </row>
    <row r="161" spans="1:7" x14ac:dyDescent="0.3">
      <c r="A161" s="1" t="s">
        <v>206</v>
      </c>
      <c r="B161" s="1" t="s">
        <v>223</v>
      </c>
      <c r="C161" s="1" t="s">
        <v>224</v>
      </c>
      <c r="D161" s="2" t="str">
        <f>HYPERLINK("https://inventaire.cncp.gouv.fr/fiches/1362/","1362")</f>
        <v>1362</v>
      </c>
      <c r="E161" s="2" t="str">
        <f>HYPERLINK("http://www.intercariforef.org/formations/certification-86556.html","86556")</f>
        <v>86556</v>
      </c>
      <c r="F161" s="3">
        <v>42352</v>
      </c>
      <c r="G161" s="3">
        <v>42354</v>
      </c>
    </row>
    <row r="162" spans="1:7" ht="26.2" x14ac:dyDescent="0.3">
      <c r="A162" s="1" t="s">
        <v>206</v>
      </c>
      <c r="B162" s="1" t="s">
        <v>225</v>
      </c>
      <c r="C162" s="1" t="s">
        <v>226</v>
      </c>
      <c r="D162" s="2" t="str">
        <f>HYPERLINK("https://inventaire.cncp.gouv.fr/fiches/2681/","2681")</f>
        <v>2681</v>
      </c>
      <c r="E162" s="2" t="str">
        <f>HYPERLINK("http://www.intercariforef.org/formations/certification-95273.html","95273")</f>
        <v>95273</v>
      </c>
      <c r="F162" s="3">
        <v>42851</v>
      </c>
      <c r="G162" s="3">
        <v>42851</v>
      </c>
    </row>
    <row r="163" spans="1:7" x14ac:dyDescent="0.3">
      <c r="A163" s="1" t="s">
        <v>206</v>
      </c>
      <c r="B163" s="1" t="s">
        <v>227</v>
      </c>
      <c r="C163" s="1" t="s">
        <v>228</v>
      </c>
      <c r="D163" s="2" t="str">
        <f>HYPERLINK("https://inventaire.cncp.gouv.fr/fiches/2362/","2362")</f>
        <v>2362</v>
      </c>
      <c r="E163" s="2" t="str">
        <f>HYPERLINK("http://www.intercariforef.org/formations/certification-92051.html","92051")</f>
        <v>92051</v>
      </c>
      <c r="F163" s="3">
        <v>42667</v>
      </c>
      <c r="G163" s="3">
        <v>42667</v>
      </c>
    </row>
    <row r="164" spans="1:7" x14ac:dyDescent="0.3">
      <c r="A164" s="1" t="s">
        <v>206</v>
      </c>
      <c r="B164" s="1" t="s">
        <v>229</v>
      </c>
      <c r="C164" s="1" t="s">
        <v>212</v>
      </c>
      <c r="D164" s="2" t="str">
        <f>HYPERLINK("https://inventaire.cncp.gouv.fr/fiches/3075/","3075")</f>
        <v>3075</v>
      </c>
      <c r="E164" s="2" t="str">
        <f>HYPERLINK("http://www.intercariforef.org/formations/certification-100529.html","100529")</f>
        <v>100529</v>
      </c>
      <c r="F164" s="3">
        <v>43187</v>
      </c>
      <c r="G164" s="3">
        <v>43187</v>
      </c>
    </row>
    <row r="165" spans="1:7" ht="26.2" x14ac:dyDescent="0.3">
      <c r="A165" s="1" t="s">
        <v>206</v>
      </c>
      <c r="B165" s="1" t="s">
        <v>230</v>
      </c>
      <c r="C165" s="1" t="s">
        <v>212</v>
      </c>
      <c r="D165" s="2" t="str">
        <f>HYPERLINK("https://inventaire.cncp.gouv.fr/fiches/2989/","2989")</f>
        <v>2989</v>
      </c>
      <c r="E165" s="2" t="str">
        <f>HYPERLINK("http://www.intercariforef.org/formations/certification-101495.html","101495")</f>
        <v>101495</v>
      </c>
      <c r="F165" s="3">
        <v>43265</v>
      </c>
      <c r="G165" s="3">
        <v>43265</v>
      </c>
    </row>
    <row r="166" spans="1:7" x14ac:dyDescent="0.3">
      <c r="A166" s="1" t="s">
        <v>206</v>
      </c>
      <c r="B166" s="1" t="s">
        <v>231</v>
      </c>
      <c r="C166" s="1" t="s">
        <v>232</v>
      </c>
      <c r="D166" s="2" t="str">
        <f>HYPERLINK("https://inventaire.cncp.gouv.fr/fiches/3676/","3676")</f>
        <v>3676</v>
      </c>
      <c r="E166" s="2" t="str">
        <f>HYPERLINK("http://www.intercariforef.org/formations/certification-102683.html","102683")</f>
        <v>102683</v>
      </c>
      <c r="F166" s="3">
        <v>43301</v>
      </c>
      <c r="G166" s="3">
        <v>43301</v>
      </c>
    </row>
    <row r="167" spans="1:7" x14ac:dyDescent="0.3">
      <c r="A167" s="1" t="s">
        <v>206</v>
      </c>
      <c r="B167" s="1" t="s">
        <v>233</v>
      </c>
      <c r="C167" s="1" t="s">
        <v>232</v>
      </c>
      <c r="D167" s="2" t="str">
        <f>HYPERLINK("https://inventaire.cncp.gouv.fr/fiches/2916/","2916")</f>
        <v>2916</v>
      </c>
      <c r="E167" s="2" t="str">
        <f>HYPERLINK("http://www.intercariforef.org/formations/certification-98627.html","98627")</f>
        <v>98627</v>
      </c>
      <c r="F167" s="3">
        <v>43038</v>
      </c>
      <c r="G167" s="3">
        <v>43038</v>
      </c>
    </row>
    <row r="168" spans="1:7" x14ac:dyDescent="0.3">
      <c r="A168" s="1" t="s">
        <v>206</v>
      </c>
      <c r="B168" s="1" t="s">
        <v>234</v>
      </c>
      <c r="C168" s="1" t="s">
        <v>210</v>
      </c>
      <c r="D168" s="2" t="str">
        <f>HYPERLINK("https://inventaire.cncp.gouv.fr/fiches/2807/","2807")</f>
        <v>2807</v>
      </c>
      <c r="E168" s="2" t="str">
        <f>HYPERLINK("http://www.intercariforef.org/formations/certification-95269.html","95269")</f>
        <v>95269</v>
      </c>
      <c r="F168" s="3">
        <v>42851</v>
      </c>
      <c r="G168" s="3">
        <v>42851</v>
      </c>
    </row>
    <row r="169" spans="1:7" x14ac:dyDescent="0.3">
      <c r="A169" s="1" t="s">
        <v>206</v>
      </c>
      <c r="B169" s="1" t="s">
        <v>235</v>
      </c>
      <c r="C169" s="1" t="s">
        <v>236</v>
      </c>
      <c r="D169" s="2" t="str">
        <f>HYPERLINK("https://inventaire.cncp.gouv.fr/fiches/2568/","2568")</f>
        <v>2568</v>
      </c>
      <c r="E169" s="2" t="str">
        <f>HYPERLINK("http://www.intercariforef.org/formations/certification-95857.html","95857")</f>
        <v>95857</v>
      </c>
      <c r="F169" s="3">
        <v>42902</v>
      </c>
      <c r="G169" s="3">
        <v>42902</v>
      </c>
    </row>
    <row r="170" spans="1:7" x14ac:dyDescent="0.3">
      <c r="A170" s="1" t="s">
        <v>206</v>
      </c>
      <c r="B170" s="1" t="s">
        <v>237</v>
      </c>
      <c r="C170" s="1" t="s">
        <v>238</v>
      </c>
      <c r="D170" s="2" t="str">
        <f>HYPERLINK("https://inventaire.cncp.gouv.fr/fiches/3015/","3015")</f>
        <v>3015</v>
      </c>
      <c r="E170" s="2" t="str">
        <f>HYPERLINK("http://www.intercariforef.org/formations/certification-96497.html","96497")</f>
        <v>96497</v>
      </c>
      <c r="F170" s="3">
        <v>42928</v>
      </c>
      <c r="G170" s="3">
        <v>42928</v>
      </c>
    </row>
    <row r="171" spans="1:7" x14ac:dyDescent="0.3">
      <c r="A171" s="1" t="s">
        <v>206</v>
      </c>
      <c r="B171" s="1" t="s">
        <v>239</v>
      </c>
      <c r="C171" s="1" t="s">
        <v>212</v>
      </c>
      <c r="D171" s="2" t="str">
        <f>HYPERLINK("https://inventaire.cncp.gouv.fr/fiches/2994/","2994")</f>
        <v>2994</v>
      </c>
      <c r="E171" s="2" t="str">
        <f>HYPERLINK("http://www.intercariforef.org/formations/certification-101483.html","101483")</f>
        <v>101483</v>
      </c>
      <c r="F171" s="3">
        <v>43265</v>
      </c>
      <c r="G171" s="3">
        <v>43265</v>
      </c>
    </row>
    <row r="172" spans="1:7" x14ac:dyDescent="0.3">
      <c r="A172" s="1" t="s">
        <v>206</v>
      </c>
      <c r="B172" s="1" t="s">
        <v>240</v>
      </c>
      <c r="C172" s="1" t="s">
        <v>241</v>
      </c>
      <c r="D172" s="2" t="str">
        <f>HYPERLINK("https://inventaire.cncp.gouv.fr/fiches/3313/","3313")</f>
        <v>3313</v>
      </c>
      <c r="E172" s="2" t="str">
        <f>HYPERLINK("http://www.intercariforef.org/formations/certification-100549.html","100549")</f>
        <v>100549</v>
      </c>
      <c r="F172" s="3">
        <v>43188</v>
      </c>
      <c r="G172" s="3">
        <v>43188</v>
      </c>
    </row>
    <row r="173" spans="1:7" x14ac:dyDescent="0.3">
      <c r="A173" s="1" t="s">
        <v>206</v>
      </c>
      <c r="B173" s="1" t="s">
        <v>242</v>
      </c>
      <c r="C173" s="1" t="s">
        <v>241</v>
      </c>
      <c r="D173" s="2" t="str">
        <f>HYPERLINK("https://inventaire.cncp.gouv.fr/fiches/2911/","2911")</f>
        <v>2911</v>
      </c>
      <c r="E173" s="2" t="str">
        <f>HYPERLINK("http://www.intercariforef.org/formations/certification-100201.html","100201")</f>
        <v>100201</v>
      </c>
      <c r="F173" s="3">
        <v>43154</v>
      </c>
      <c r="G173" s="3">
        <v>43154</v>
      </c>
    </row>
    <row r="174" spans="1:7" ht="26.2" x14ac:dyDescent="0.3">
      <c r="A174" s="1" t="s">
        <v>206</v>
      </c>
      <c r="B174" s="1" t="s">
        <v>243</v>
      </c>
      <c r="C174" s="1" t="s">
        <v>208</v>
      </c>
      <c r="D174" s="2" t="str">
        <f>HYPERLINK("https://inventaire.cncp.gouv.fr/fiches/3879/","3879")</f>
        <v>3879</v>
      </c>
      <c r="E174" s="2" t="str">
        <f>HYPERLINK("http://www.intercariforef.org/formations/certification-103941.html","103941")</f>
        <v>103941</v>
      </c>
      <c r="F174" s="3">
        <v>43390</v>
      </c>
      <c r="G174" s="3">
        <v>43390</v>
      </c>
    </row>
    <row r="175" spans="1:7" x14ac:dyDescent="0.3">
      <c r="A175" s="1" t="s">
        <v>206</v>
      </c>
      <c r="B175" s="1" t="s">
        <v>244</v>
      </c>
      <c r="C175" s="1" t="s">
        <v>245</v>
      </c>
      <c r="D175" s="2" t="str">
        <f>HYPERLINK("https://inventaire.cncp.gouv.fr/fiches/2564/","2564")</f>
        <v>2564</v>
      </c>
      <c r="E175" s="2" t="str">
        <f>HYPERLINK("http://www.intercariforef.org/formations/certification-94907.html","94907")</f>
        <v>94907</v>
      </c>
      <c r="F175" s="3">
        <v>42836</v>
      </c>
      <c r="G175" s="3">
        <v>42836</v>
      </c>
    </row>
    <row r="176" spans="1:7" x14ac:dyDescent="0.3">
      <c r="A176" s="1" t="s">
        <v>206</v>
      </c>
      <c r="B176" s="1" t="s">
        <v>246</v>
      </c>
      <c r="C176" s="1" t="s">
        <v>245</v>
      </c>
      <c r="D176" s="2" t="str">
        <f>HYPERLINK("https://inventaire.cncp.gouv.fr/fiches/2577/","2577")</f>
        <v>2577</v>
      </c>
      <c r="E176" s="2" t="str">
        <f>HYPERLINK("http://www.intercariforef.org/formations/certification-94903.html","94903")</f>
        <v>94903</v>
      </c>
      <c r="F176" s="3">
        <v>42836</v>
      </c>
      <c r="G176" s="3">
        <v>42836</v>
      </c>
    </row>
    <row r="177" spans="1:7" x14ac:dyDescent="0.3">
      <c r="A177" s="1" t="s">
        <v>206</v>
      </c>
      <c r="B177" s="1" t="s">
        <v>247</v>
      </c>
      <c r="C177" s="1" t="s">
        <v>210</v>
      </c>
      <c r="D177" s="2" t="str">
        <f>HYPERLINK("https://inventaire.cncp.gouv.fr/fiches/2402/","2402")</f>
        <v>2402</v>
      </c>
      <c r="E177" s="2" t="str">
        <f>HYPERLINK("http://www.intercariforef.org/formations/certification-92311.html","92311")</f>
        <v>92311</v>
      </c>
      <c r="F177" s="3">
        <v>42670</v>
      </c>
      <c r="G177" s="3">
        <v>42670</v>
      </c>
    </row>
    <row r="178" spans="1:7" x14ac:dyDescent="0.3">
      <c r="A178" s="1" t="s">
        <v>206</v>
      </c>
      <c r="B178" s="1" t="s">
        <v>248</v>
      </c>
      <c r="C178" s="1" t="s">
        <v>245</v>
      </c>
      <c r="D178" s="2" t="str">
        <f>HYPERLINK("https://inventaire.cncp.gouv.fr/fiches/3597/","3597")</f>
        <v>3597</v>
      </c>
      <c r="E178" s="2" t="str">
        <f>HYPERLINK("http://www.intercariforef.org/formations/certification-102627.html","102627")</f>
        <v>102627</v>
      </c>
      <c r="F178" s="3">
        <v>43299</v>
      </c>
      <c r="G178" s="3">
        <v>43299</v>
      </c>
    </row>
    <row r="179" spans="1:7" x14ac:dyDescent="0.3">
      <c r="A179" s="1" t="s">
        <v>206</v>
      </c>
      <c r="B179" s="1" t="s">
        <v>249</v>
      </c>
      <c r="C179" s="1" t="s">
        <v>250</v>
      </c>
      <c r="D179" s="2" t="str">
        <f>HYPERLINK("https://inventaire.cncp.gouv.fr/fiches/2384/","2384")</f>
        <v>2384</v>
      </c>
      <c r="E179" s="2" t="str">
        <f>HYPERLINK("http://www.intercariforef.org/formations/certification-98381.html","98381")</f>
        <v>98381</v>
      </c>
      <c r="F179" s="3">
        <v>43027</v>
      </c>
      <c r="G179" s="3">
        <v>43027</v>
      </c>
    </row>
    <row r="180" spans="1:7" x14ac:dyDescent="0.3">
      <c r="A180" s="1" t="s">
        <v>206</v>
      </c>
      <c r="B180" s="1" t="s">
        <v>251</v>
      </c>
      <c r="C180" s="1" t="s">
        <v>252</v>
      </c>
      <c r="D180" s="2" t="str">
        <f>HYPERLINK("https://inventaire.cncp.gouv.fr/fiches/1825/","1825")</f>
        <v>1825</v>
      </c>
      <c r="E180" s="2" t="str">
        <f>HYPERLINK("http://www.intercariforef.org/formations/certification-88499.html","88499")</f>
        <v>88499</v>
      </c>
      <c r="F180" s="3">
        <v>42465</v>
      </c>
      <c r="G180" s="3">
        <v>42465</v>
      </c>
    </row>
    <row r="181" spans="1:7" x14ac:dyDescent="0.3">
      <c r="A181" s="1" t="s">
        <v>206</v>
      </c>
      <c r="B181" s="1" t="s">
        <v>253</v>
      </c>
      <c r="C181" s="1" t="s">
        <v>210</v>
      </c>
      <c r="D181" s="2" t="str">
        <f>HYPERLINK("https://inventaire.cncp.gouv.fr/fiches/2394/","2394")</f>
        <v>2394</v>
      </c>
      <c r="E181" s="2" t="str">
        <f>HYPERLINK("http://www.intercariforef.org/formations/certification-94155.html","94155")</f>
        <v>94155</v>
      </c>
      <c r="F181" s="3">
        <v>42772</v>
      </c>
      <c r="G181" s="3">
        <v>42772</v>
      </c>
    </row>
    <row r="182" spans="1:7" x14ac:dyDescent="0.3">
      <c r="A182" s="1" t="s">
        <v>206</v>
      </c>
      <c r="B182" s="1" t="s">
        <v>254</v>
      </c>
      <c r="C182" s="1" t="s">
        <v>210</v>
      </c>
      <c r="D182" s="2" t="str">
        <f>HYPERLINK("https://inventaire.cncp.gouv.fr/fiches/3024/","3024")</f>
        <v>3024</v>
      </c>
      <c r="E182" s="2" t="str">
        <f>HYPERLINK("http://www.intercariforef.org/formations/certification-98529.html","98529")</f>
        <v>98529</v>
      </c>
      <c r="F182" s="3">
        <v>43033</v>
      </c>
      <c r="G182" s="3">
        <v>43033</v>
      </c>
    </row>
    <row r="183" spans="1:7" x14ac:dyDescent="0.3">
      <c r="A183" s="1" t="s">
        <v>206</v>
      </c>
      <c r="B183" s="1" t="s">
        <v>255</v>
      </c>
      <c r="C183" s="1" t="s">
        <v>256</v>
      </c>
      <c r="D183" s="2" t="str">
        <f>HYPERLINK("https://inventaire.cncp.gouv.fr/fiches/2881/","2881")</f>
        <v>2881</v>
      </c>
      <c r="E183" s="2" t="str">
        <f>HYPERLINK("http://www.intercariforef.org/formations/certification-98655.html","98655")</f>
        <v>98655</v>
      </c>
      <c r="F183" s="3">
        <v>43039</v>
      </c>
      <c r="G183" s="3">
        <v>43039</v>
      </c>
    </row>
    <row r="184" spans="1:7" x14ac:dyDescent="0.3">
      <c r="A184" s="1" t="s">
        <v>206</v>
      </c>
      <c r="B184" s="1" t="s">
        <v>257</v>
      </c>
      <c r="C184" s="1" t="s">
        <v>258</v>
      </c>
      <c r="D184" s="2" t="str">
        <f>HYPERLINK("https://inventaire.cncp.gouv.fr/fiches/3332/","3332")</f>
        <v>3332</v>
      </c>
      <c r="E184" s="2" t="str">
        <f>HYPERLINK("http://www.intercariforef.org/formations/certification-100177.html","100177")</f>
        <v>100177</v>
      </c>
      <c r="F184" s="3">
        <v>43154</v>
      </c>
      <c r="G184" s="3">
        <v>43154</v>
      </c>
    </row>
    <row r="185" spans="1:7" x14ac:dyDescent="0.3">
      <c r="A185" s="1" t="s">
        <v>206</v>
      </c>
      <c r="B185" s="1" t="s">
        <v>259</v>
      </c>
      <c r="C185" s="1" t="s">
        <v>208</v>
      </c>
      <c r="D185" s="2" t="str">
        <f>HYPERLINK("https://inventaire.cncp.gouv.fr/fiches/3390/","3390")</f>
        <v>3390</v>
      </c>
      <c r="E185" s="2" t="str">
        <f>HYPERLINK("http://www.intercariforef.org/formations/certification-100021.html","100021")</f>
        <v>100021</v>
      </c>
      <c r="F185" s="3">
        <v>43151</v>
      </c>
      <c r="G185" s="3">
        <v>43151</v>
      </c>
    </row>
    <row r="186" spans="1:7" x14ac:dyDescent="0.3">
      <c r="A186" s="1" t="s">
        <v>206</v>
      </c>
      <c r="B186" s="1" t="s">
        <v>260</v>
      </c>
      <c r="C186" s="1" t="s">
        <v>261</v>
      </c>
      <c r="D186" s="2" t="str">
        <f>HYPERLINK("https://inventaire.cncp.gouv.fr/fiches/2784/","2784")</f>
        <v>2784</v>
      </c>
      <c r="E186" s="2" t="str">
        <f>HYPERLINK("http://www.intercariforef.org/formations/certification-95635.html","95635")</f>
        <v>95635</v>
      </c>
      <c r="F186" s="3">
        <v>42893</v>
      </c>
      <c r="G186" s="3">
        <v>42893</v>
      </c>
    </row>
    <row r="187" spans="1:7" ht="26.2" x14ac:dyDescent="0.3">
      <c r="A187" s="1" t="s">
        <v>206</v>
      </c>
      <c r="B187" s="1" t="s">
        <v>262</v>
      </c>
      <c r="C187" s="1" t="s">
        <v>263</v>
      </c>
      <c r="D187" s="2" t="str">
        <f>HYPERLINK("https://inventaire.cncp.gouv.fr/fiches/1451/","1451")</f>
        <v>1451</v>
      </c>
      <c r="E187" s="2" t="str">
        <f>HYPERLINK("http://www.intercariforef.org/formations/certification-81431.html","81431")</f>
        <v>81431</v>
      </c>
      <c r="F187" s="3">
        <v>41463</v>
      </c>
      <c r="G187" s="3">
        <v>42429</v>
      </c>
    </row>
    <row r="188" spans="1:7" x14ac:dyDescent="0.3">
      <c r="A188" s="1" t="s">
        <v>206</v>
      </c>
      <c r="B188" s="1" t="s">
        <v>264</v>
      </c>
      <c r="C188" s="1" t="s">
        <v>212</v>
      </c>
      <c r="D188" s="2" t="str">
        <f>HYPERLINK("https://inventaire.cncp.gouv.fr/fiches/2988/","2988")</f>
        <v>2988</v>
      </c>
      <c r="E188" s="2" t="str">
        <f>HYPERLINK("http://www.intercariforef.org/formations/certification-101491.html","101491")</f>
        <v>101491</v>
      </c>
      <c r="F188" s="3">
        <v>43265</v>
      </c>
      <c r="G188" s="3">
        <v>43265</v>
      </c>
    </row>
    <row r="189" spans="1:7" x14ac:dyDescent="0.3">
      <c r="A189" s="1" t="s">
        <v>206</v>
      </c>
      <c r="B189" s="1" t="s">
        <v>265</v>
      </c>
      <c r="C189" s="1" t="s">
        <v>266</v>
      </c>
      <c r="D189" s="2" t="str">
        <f>HYPERLINK("https://inventaire.cncp.gouv.fr/fiches/3317/","3317")</f>
        <v>3317</v>
      </c>
      <c r="E189" s="2" t="str">
        <f>HYPERLINK("http://www.intercariforef.org/formations/certification-100077.html","100077")</f>
        <v>100077</v>
      </c>
      <c r="F189" s="3">
        <v>43152</v>
      </c>
      <c r="G189" s="3">
        <v>43152</v>
      </c>
    </row>
    <row r="190" spans="1:7" x14ac:dyDescent="0.3">
      <c r="A190" s="1" t="s">
        <v>206</v>
      </c>
      <c r="B190" s="1" t="s">
        <v>267</v>
      </c>
      <c r="C190" s="1" t="s">
        <v>266</v>
      </c>
      <c r="D190" s="2" t="str">
        <f>HYPERLINK("https://inventaire.cncp.gouv.fr/fiches/3319/","3319")</f>
        <v>3319</v>
      </c>
      <c r="E190" s="2" t="str">
        <f>HYPERLINK("http://www.intercariforef.org/formations/certification-100073.html","100073")</f>
        <v>100073</v>
      </c>
      <c r="F190" s="3">
        <v>43152</v>
      </c>
      <c r="G190" s="3">
        <v>43152</v>
      </c>
    </row>
    <row r="191" spans="1:7" x14ac:dyDescent="0.3">
      <c r="A191" s="1" t="s">
        <v>206</v>
      </c>
      <c r="B191" s="1" t="s">
        <v>268</v>
      </c>
      <c r="C191" s="1" t="s">
        <v>266</v>
      </c>
      <c r="D191" s="2" t="str">
        <f>HYPERLINK("https://inventaire.cncp.gouv.fr/fiches/3318/","3318")</f>
        <v>3318</v>
      </c>
      <c r="E191" s="2" t="str">
        <f>HYPERLINK("http://www.intercariforef.org/formations/certification-100075.html","100075")</f>
        <v>100075</v>
      </c>
      <c r="F191" s="3">
        <v>43152</v>
      </c>
      <c r="G191" s="3">
        <v>43152</v>
      </c>
    </row>
    <row r="192" spans="1:7" x14ac:dyDescent="0.3">
      <c r="A192" s="1" t="s">
        <v>206</v>
      </c>
      <c r="B192" s="1" t="s">
        <v>269</v>
      </c>
      <c r="C192" s="1" t="s">
        <v>212</v>
      </c>
      <c r="D192" s="2" t="str">
        <f>HYPERLINK("https://inventaire.cncp.gouv.fr/fiches/2997/","2997")</f>
        <v>2997</v>
      </c>
      <c r="E192" s="2" t="str">
        <f>HYPERLINK("http://www.intercariforef.org/formations/certification-101475.html","101475")</f>
        <v>101475</v>
      </c>
      <c r="F192" s="3">
        <v>43265</v>
      </c>
      <c r="G192" s="3">
        <v>43265</v>
      </c>
    </row>
    <row r="193" spans="1:7" x14ac:dyDescent="0.3">
      <c r="A193" s="1" t="s">
        <v>206</v>
      </c>
      <c r="B193" s="1" t="s">
        <v>270</v>
      </c>
      <c r="C193" s="1" t="s">
        <v>208</v>
      </c>
      <c r="D193" s="2" t="str">
        <f>HYPERLINK("https://inventaire.cncp.gouv.fr/fiches/3882/","3882")</f>
        <v>3882</v>
      </c>
      <c r="E193" s="2" t="str">
        <f>HYPERLINK("http://www.intercariforef.org/formations/certification-103937.html","103937")</f>
        <v>103937</v>
      </c>
      <c r="F193" s="3">
        <v>43390</v>
      </c>
      <c r="G193" s="3">
        <v>43390</v>
      </c>
    </row>
    <row r="194" spans="1:7" x14ac:dyDescent="0.3">
      <c r="A194" s="1" t="s">
        <v>206</v>
      </c>
      <c r="B194" s="1" t="s">
        <v>271</v>
      </c>
      <c r="C194" s="1" t="s">
        <v>208</v>
      </c>
      <c r="D194" s="2" t="str">
        <f>HYPERLINK("https://inventaire.cncp.gouv.fr/fiches/3884/","3884")</f>
        <v>3884</v>
      </c>
      <c r="E194" s="2" t="str">
        <f>HYPERLINK("http://www.intercariforef.org/formations/certification-103935.html","103935")</f>
        <v>103935</v>
      </c>
      <c r="F194" s="3">
        <v>43390</v>
      </c>
      <c r="G194" s="3">
        <v>43390</v>
      </c>
    </row>
    <row r="195" spans="1:7" ht="26.2" x14ac:dyDescent="0.3">
      <c r="A195" s="1" t="s">
        <v>206</v>
      </c>
      <c r="B195" s="1" t="s">
        <v>272</v>
      </c>
      <c r="C195" s="1" t="s">
        <v>232</v>
      </c>
      <c r="D195" s="2" t="str">
        <f>HYPERLINK("https://inventaire.cncp.gouv.fr/fiches/3664/","3664")</f>
        <v>3664</v>
      </c>
      <c r="E195" s="2" t="str">
        <f>HYPERLINK("http://www.intercariforef.org/formations/certification-102689.html","102689")</f>
        <v>102689</v>
      </c>
      <c r="F195" s="3">
        <v>43301</v>
      </c>
      <c r="G195" s="3">
        <v>43301</v>
      </c>
    </row>
    <row r="196" spans="1:7" ht="26.2" x14ac:dyDescent="0.3">
      <c r="A196" s="1" t="s">
        <v>206</v>
      </c>
      <c r="B196" s="1" t="s">
        <v>273</v>
      </c>
      <c r="C196" s="1" t="s">
        <v>250</v>
      </c>
      <c r="D196" s="2" t="str">
        <f>HYPERLINK("https://inventaire.cncp.gouv.fr/fiches/2517/","2517")</f>
        <v>2517</v>
      </c>
      <c r="E196" s="2" t="str">
        <f>HYPERLINK("http://www.intercariforef.org/formations/certification-96881.html","96881")</f>
        <v>96881</v>
      </c>
      <c r="F196" s="3">
        <v>42937</v>
      </c>
      <c r="G196" s="3">
        <v>42937</v>
      </c>
    </row>
    <row r="197" spans="1:7" x14ac:dyDescent="0.3">
      <c r="A197" s="1" t="s">
        <v>206</v>
      </c>
      <c r="B197" s="1" t="s">
        <v>274</v>
      </c>
      <c r="C197" s="1" t="s">
        <v>208</v>
      </c>
      <c r="D197" s="2" t="str">
        <f>HYPERLINK("https://inventaire.cncp.gouv.fr/fiches/2785/","2785")</f>
        <v>2785</v>
      </c>
      <c r="E197" s="2" t="str">
        <f>HYPERLINK("http://www.intercariforef.org/formations/certification-95633.html","95633")</f>
        <v>95633</v>
      </c>
      <c r="F197" s="3">
        <v>42893</v>
      </c>
      <c r="G197" s="3">
        <v>42893</v>
      </c>
    </row>
    <row r="198" spans="1:7" x14ac:dyDescent="0.3">
      <c r="A198" s="1" t="s">
        <v>206</v>
      </c>
      <c r="B198" s="1" t="s">
        <v>275</v>
      </c>
      <c r="C198" s="1" t="s">
        <v>276</v>
      </c>
      <c r="D198" s="2" t="str">
        <f>HYPERLINK("https://inventaire.cncp.gouv.fr/fiches/3124/","3124")</f>
        <v>3124</v>
      </c>
      <c r="E198" s="2" t="str">
        <f>HYPERLINK("http://www.intercariforef.org/formations/certification-98517.html","98517")</f>
        <v>98517</v>
      </c>
      <c r="F198" s="3">
        <v>43033</v>
      </c>
      <c r="G198" s="3">
        <v>43033</v>
      </c>
    </row>
    <row r="199" spans="1:7" x14ac:dyDescent="0.3">
      <c r="A199" s="1" t="s">
        <v>206</v>
      </c>
      <c r="B199" s="1" t="s">
        <v>277</v>
      </c>
      <c r="C199" s="1" t="s">
        <v>276</v>
      </c>
      <c r="D199" s="2" t="str">
        <f>HYPERLINK("https://inventaire.cncp.gouv.fr/fiches/3119/","3119")</f>
        <v>3119</v>
      </c>
      <c r="E199" s="2" t="str">
        <f>HYPERLINK("http://www.intercariforef.org/formations/certification-98519.html","98519")</f>
        <v>98519</v>
      </c>
      <c r="F199" s="3">
        <v>43033</v>
      </c>
      <c r="G199" s="3">
        <v>43033</v>
      </c>
    </row>
    <row r="200" spans="1:7" x14ac:dyDescent="0.3">
      <c r="A200" s="1" t="s">
        <v>206</v>
      </c>
      <c r="B200" s="1" t="s">
        <v>278</v>
      </c>
      <c r="C200" s="1" t="s">
        <v>208</v>
      </c>
      <c r="D200" s="2" t="str">
        <f>HYPERLINK("https://inventaire.cncp.gouv.fr/fiches/2789/","2789")</f>
        <v>2789</v>
      </c>
      <c r="E200" s="2" t="str">
        <f>HYPERLINK("http://www.intercariforef.org/formations/certification-95627.html","95627")</f>
        <v>95627</v>
      </c>
      <c r="F200" s="3">
        <v>42893</v>
      </c>
      <c r="G200" s="3">
        <v>42893</v>
      </c>
    </row>
    <row r="201" spans="1:7" ht="26.2" x14ac:dyDescent="0.3">
      <c r="A201" s="1" t="s">
        <v>206</v>
      </c>
      <c r="B201" s="1" t="s">
        <v>279</v>
      </c>
      <c r="C201" s="1" t="s">
        <v>280</v>
      </c>
      <c r="D201" s="2" t="str">
        <f>HYPERLINK("https://inventaire.cncp.gouv.fr/fiches/1023/","1023")</f>
        <v>1023</v>
      </c>
      <c r="E201" s="2" t="str">
        <f>HYPERLINK("http://www.intercariforef.org/formations/certification-85003.html","85003")</f>
        <v>85003</v>
      </c>
      <c r="F201" s="3">
        <v>42184</v>
      </c>
      <c r="G201" s="3">
        <v>42184</v>
      </c>
    </row>
    <row r="202" spans="1:7" ht="26.2" x14ac:dyDescent="0.3">
      <c r="A202" s="1" t="s">
        <v>206</v>
      </c>
      <c r="B202" s="1" t="s">
        <v>281</v>
      </c>
      <c r="C202" s="1" t="s">
        <v>280</v>
      </c>
      <c r="D202" s="2" t="str">
        <f>HYPERLINK("https://inventaire.cncp.gouv.fr/fiches/1030/","1030")</f>
        <v>1030</v>
      </c>
      <c r="E202" s="2" t="str">
        <f>HYPERLINK("http://www.intercariforef.org/formations/certification-85004.html","85004")</f>
        <v>85004</v>
      </c>
      <c r="F202" s="3">
        <v>42184</v>
      </c>
      <c r="G202" s="3">
        <v>42184</v>
      </c>
    </row>
    <row r="203" spans="1:7" x14ac:dyDescent="0.3">
      <c r="A203" s="1" t="s">
        <v>206</v>
      </c>
      <c r="B203" s="1" t="s">
        <v>282</v>
      </c>
      <c r="C203" s="1" t="s">
        <v>232</v>
      </c>
      <c r="D203" s="2" t="str">
        <f>HYPERLINK("https://inventaire.cncp.gouv.fr/fiches/2512/","2512")</f>
        <v>2512</v>
      </c>
      <c r="E203" s="2" t="str">
        <f>HYPERLINK("http://www.intercariforef.org/formations/certification-93783.html","93783")</f>
        <v>93783</v>
      </c>
      <c r="F203" s="3">
        <v>42725</v>
      </c>
      <c r="G203" s="3">
        <v>42979</v>
      </c>
    </row>
    <row r="204" spans="1:7" x14ac:dyDescent="0.3">
      <c r="A204" s="1" t="s">
        <v>206</v>
      </c>
      <c r="B204" s="1" t="s">
        <v>283</v>
      </c>
      <c r="C204" s="1" t="s">
        <v>212</v>
      </c>
      <c r="D204" s="2" t="str">
        <f>HYPERLINK("https://inventaire.cncp.gouv.fr/fiches/2990/","2990")</f>
        <v>2990</v>
      </c>
      <c r="E204" s="2" t="str">
        <f>HYPERLINK("http://www.intercariforef.org/formations/certification-101489.html","101489")</f>
        <v>101489</v>
      </c>
      <c r="F204" s="3">
        <v>43265</v>
      </c>
      <c r="G204" s="3">
        <v>43265</v>
      </c>
    </row>
    <row r="205" spans="1:7" x14ac:dyDescent="0.3">
      <c r="A205" s="1" t="s">
        <v>206</v>
      </c>
      <c r="B205" s="1" t="s">
        <v>284</v>
      </c>
      <c r="C205" s="1" t="s">
        <v>266</v>
      </c>
      <c r="D205" s="2" t="str">
        <f>HYPERLINK("https://inventaire.cncp.gouv.fr/fiches/3322/","3322")</f>
        <v>3322</v>
      </c>
      <c r="E205" s="2" t="str">
        <f>HYPERLINK("http://www.intercariforef.org/formations/certification-100053.html","100053")</f>
        <v>100053</v>
      </c>
      <c r="F205" s="3">
        <v>43152</v>
      </c>
      <c r="G205" s="3">
        <v>43152</v>
      </c>
    </row>
    <row r="206" spans="1:7" x14ac:dyDescent="0.3">
      <c r="A206" s="1" t="s">
        <v>206</v>
      </c>
      <c r="B206" s="1" t="s">
        <v>285</v>
      </c>
      <c r="C206" s="1" t="s">
        <v>266</v>
      </c>
      <c r="D206" s="2" t="str">
        <f>HYPERLINK("https://inventaire.cncp.gouv.fr/fiches/3320/","3320")</f>
        <v>3320</v>
      </c>
      <c r="E206" s="2" t="str">
        <f>HYPERLINK("http://www.intercariforef.org/formations/certification-100055.html","100055")</f>
        <v>100055</v>
      </c>
      <c r="F206" s="3">
        <v>43152</v>
      </c>
      <c r="G206" s="3">
        <v>43152</v>
      </c>
    </row>
    <row r="207" spans="1:7" x14ac:dyDescent="0.3">
      <c r="A207" s="1" t="s">
        <v>206</v>
      </c>
      <c r="B207" s="1" t="s">
        <v>286</v>
      </c>
      <c r="C207" s="1" t="s">
        <v>266</v>
      </c>
      <c r="D207" s="2" t="str">
        <f>HYPERLINK("https://inventaire.cncp.gouv.fr/fiches/3324/","3324")</f>
        <v>3324</v>
      </c>
      <c r="E207" s="2" t="str">
        <f>HYPERLINK("http://www.intercariforef.org/formations/certification-100051.html","100051")</f>
        <v>100051</v>
      </c>
      <c r="F207" s="3">
        <v>43152</v>
      </c>
      <c r="G207" s="3">
        <v>43152</v>
      </c>
    </row>
    <row r="208" spans="1:7" x14ac:dyDescent="0.3">
      <c r="A208" s="1" t="s">
        <v>206</v>
      </c>
      <c r="B208" s="1" t="s">
        <v>287</v>
      </c>
      <c r="C208" s="1" t="s">
        <v>288</v>
      </c>
      <c r="D208" s="2" t="str">
        <f>HYPERLINK("https://inventaire.cncp.gouv.fr/fiches/2735/","2735")</f>
        <v>2735</v>
      </c>
      <c r="E208" s="2" t="str">
        <f>HYPERLINK("http://www.intercariforef.org/formations/certification-98667.html","98667")</f>
        <v>98667</v>
      </c>
      <c r="F208" s="3">
        <v>43039</v>
      </c>
      <c r="G208" s="3">
        <v>43039</v>
      </c>
    </row>
    <row r="209" spans="1:7" x14ac:dyDescent="0.3">
      <c r="A209" s="1" t="s">
        <v>206</v>
      </c>
      <c r="B209" s="1" t="s">
        <v>289</v>
      </c>
      <c r="C209" s="1" t="s">
        <v>288</v>
      </c>
      <c r="D209" s="2" t="str">
        <f>HYPERLINK("https://inventaire.cncp.gouv.fr/fiches/2740/","2740")</f>
        <v>2740</v>
      </c>
      <c r="E209" s="2" t="str">
        <f>HYPERLINK("http://www.intercariforef.org/formations/certification-98661.html","98661")</f>
        <v>98661</v>
      </c>
      <c r="F209" s="3">
        <v>43039</v>
      </c>
      <c r="G209" s="3">
        <v>43039</v>
      </c>
    </row>
    <row r="210" spans="1:7" x14ac:dyDescent="0.3">
      <c r="A210" s="1" t="s">
        <v>206</v>
      </c>
      <c r="B210" s="1" t="s">
        <v>290</v>
      </c>
      <c r="C210" s="1" t="s">
        <v>208</v>
      </c>
      <c r="D210" s="2" t="str">
        <f>HYPERLINK("https://inventaire.cncp.gouv.fr/fiches/2787/","2787")</f>
        <v>2787</v>
      </c>
      <c r="E210" s="2" t="str">
        <f>HYPERLINK("http://www.intercariforef.org/formations/certification-95631.html","95631")</f>
        <v>95631</v>
      </c>
      <c r="F210" s="3">
        <v>42893</v>
      </c>
      <c r="G210" s="3">
        <v>42893</v>
      </c>
    </row>
    <row r="211" spans="1:7" x14ac:dyDescent="0.3">
      <c r="A211" s="1" t="s">
        <v>206</v>
      </c>
      <c r="B211" s="1" t="s">
        <v>291</v>
      </c>
      <c r="C211" s="1" t="s">
        <v>208</v>
      </c>
      <c r="D211" s="2" t="str">
        <f>HYPERLINK("https://inventaire.cncp.gouv.fr/fiches/2494/","2494")</f>
        <v>2494</v>
      </c>
      <c r="E211" s="2" t="str">
        <f>HYPERLINK("http://www.intercariforef.org/formations/certification-93793.html","93793")</f>
        <v>93793</v>
      </c>
      <c r="F211" s="3">
        <v>42725</v>
      </c>
      <c r="G211" s="3">
        <v>42725</v>
      </c>
    </row>
    <row r="212" spans="1:7" x14ac:dyDescent="0.3">
      <c r="A212" s="1" t="s">
        <v>206</v>
      </c>
      <c r="B212" s="1" t="s">
        <v>292</v>
      </c>
      <c r="C212" s="1" t="s">
        <v>208</v>
      </c>
      <c r="D212" s="2" t="str">
        <f>HYPERLINK("https://inventaire.cncp.gouv.fr/fiches/2509/","2509")</f>
        <v>2509</v>
      </c>
      <c r="E212" s="2" t="str">
        <f>HYPERLINK("http://www.intercariforef.org/formations/certification-93787.html","93787")</f>
        <v>93787</v>
      </c>
      <c r="F212" s="3">
        <v>42725</v>
      </c>
      <c r="G212" s="3">
        <v>42725</v>
      </c>
    </row>
    <row r="213" spans="1:7" x14ac:dyDescent="0.3">
      <c r="A213" s="1" t="s">
        <v>206</v>
      </c>
      <c r="B213" s="1" t="s">
        <v>293</v>
      </c>
      <c r="C213" s="1" t="s">
        <v>208</v>
      </c>
      <c r="D213" s="2" t="str">
        <f>HYPERLINK("https://inventaire.cncp.gouv.fr/fiches/2510/","2510")</f>
        <v>2510</v>
      </c>
      <c r="E213" s="2" t="str">
        <f>HYPERLINK("http://www.intercariforef.org/formations/certification-93785.html","93785")</f>
        <v>93785</v>
      </c>
      <c r="F213" s="3">
        <v>42725</v>
      </c>
      <c r="G213" s="3">
        <v>42725</v>
      </c>
    </row>
    <row r="214" spans="1:7" x14ac:dyDescent="0.3">
      <c r="A214" s="1" t="s">
        <v>206</v>
      </c>
      <c r="B214" s="1" t="s">
        <v>294</v>
      </c>
      <c r="C214" s="1" t="s">
        <v>212</v>
      </c>
      <c r="D214" s="2" t="str">
        <f>HYPERLINK("https://inventaire.cncp.gouv.fr/fiches/2999/","2999")</f>
        <v>2999</v>
      </c>
      <c r="E214" s="2" t="str">
        <f>HYPERLINK("http://www.intercariforef.org/formations/certification-101471.html","101471")</f>
        <v>101471</v>
      </c>
      <c r="F214" s="3">
        <v>43265</v>
      </c>
      <c r="G214" s="3">
        <v>43265</v>
      </c>
    </row>
    <row r="215" spans="1:7" x14ac:dyDescent="0.3">
      <c r="A215" s="1" t="s">
        <v>206</v>
      </c>
      <c r="B215" s="1" t="s">
        <v>295</v>
      </c>
      <c r="C215" s="1" t="s">
        <v>232</v>
      </c>
      <c r="D215" s="2" t="str">
        <f>HYPERLINK("https://inventaire.cncp.gouv.fr/fiches/3665/","3665")</f>
        <v>3665</v>
      </c>
      <c r="E215" s="2" t="str">
        <f>HYPERLINK("http://www.intercariforef.org/formations/certification-102687.html","102687")</f>
        <v>102687</v>
      </c>
      <c r="F215" s="3">
        <v>43301</v>
      </c>
      <c r="G215" s="3">
        <v>43301</v>
      </c>
    </row>
    <row r="216" spans="1:7" x14ac:dyDescent="0.3">
      <c r="A216" s="1" t="s">
        <v>206</v>
      </c>
      <c r="B216" s="1" t="s">
        <v>296</v>
      </c>
      <c r="C216" s="1" t="s">
        <v>232</v>
      </c>
      <c r="D216" s="2" t="str">
        <f>HYPERLINK("https://inventaire.cncp.gouv.fr/fiches/3589/","3589")</f>
        <v>3589</v>
      </c>
      <c r="E216" s="2" t="str">
        <f>HYPERLINK("http://www.intercariforef.org/formations/certification-102701.html","102701")</f>
        <v>102701</v>
      </c>
      <c r="F216" s="3">
        <v>43301</v>
      </c>
      <c r="G216" s="3">
        <v>43301</v>
      </c>
    </row>
    <row r="217" spans="1:7" x14ac:dyDescent="0.3">
      <c r="A217" s="1" t="s">
        <v>206</v>
      </c>
      <c r="B217" s="1" t="s">
        <v>297</v>
      </c>
      <c r="C217" s="1" t="s">
        <v>298</v>
      </c>
      <c r="D217" s="2" t="str">
        <f>HYPERLINK("https://inventaire.cncp.gouv.fr/fiches/1396/","1396")</f>
        <v>1396</v>
      </c>
      <c r="E217" s="2" t="str">
        <f>HYPERLINK("http://www.intercariforef.org/formations/certification-87803.html","87803")</f>
        <v>87803</v>
      </c>
      <c r="F217" s="3">
        <v>42430</v>
      </c>
      <c r="G217" s="3">
        <v>42430</v>
      </c>
    </row>
    <row r="218" spans="1:7" x14ac:dyDescent="0.3">
      <c r="A218" s="1" t="s">
        <v>206</v>
      </c>
      <c r="B218" s="1" t="s">
        <v>299</v>
      </c>
      <c r="C218" s="1" t="s">
        <v>300</v>
      </c>
      <c r="D218" s="2" t="str">
        <f>HYPERLINK("https://inventaire.cncp.gouv.fr/fiches/3513/","3513")</f>
        <v>3513</v>
      </c>
      <c r="E218" s="2" t="str">
        <f>HYPERLINK("http://www.intercariforef.org/formations/certification-101171.html","101171")</f>
        <v>101171</v>
      </c>
      <c r="F218" s="3">
        <v>43250</v>
      </c>
      <c r="G218" s="3">
        <v>43250</v>
      </c>
    </row>
    <row r="219" spans="1:7" x14ac:dyDescent="0.3">
      <c r="A219" s="1" t="s">
        <v>206</v>
      </c>
      <c r="B219" s="1" t="s">
        <v>301</v>
      </c>
      <c r="C219" s="1" t="s">
        <v>232</v>
      </c>
      <c r="D219" s="2" t="str">
        <f>HYPERLINK("https://inventaire.cncp.gouv.fr/fiches/3662/","3662")</f>
        <v>3662</v>
      </c>
      <c r="E219" s="2" t="str">
        <f>HYPERLINK("http://www.intercariforef.org/formations/certification-102691.html","102691")</f>
        <v>102691</v>
      </c>
      <c r="F219" s="3">
        <v>43301</v>
      </c>
      <c r="G219" s="3">
        <v>43301</v>
      </c>
    </row>
    <row r="220" spans="1:7" x14ac:dyDescent="0.3">
      <c r="A220" s="1" t="s">
        <v>206</v>
      </c>
      <c r="B220" s="1" t="s">
        <v>302</v>
      </c>
      <c r="C220" s="1" t="s">
        <v>212</v>
      </c>
      <c r="D220" s="2" t="str">
        <f>HYPERLINK("https://inventaire.cncp.gouv.fr/fiches/3000/","3000")</f>
        <v>3000</v>
      </c>
      <c r="E220" s="2" t="str">
        <f>HYPERLINK("http://www.intercariforef.org/formations/certification-101473.html","101473")</f>
        <v>101473</v>
      </c>
      <c r="F220" s="3">
        <v>43265</v>
      </c>
      <c r="G220" s="3">
        <v>43265</v>
      </c>
    </row>
    <row r="221" spans="1:7" ht="39.299999999999997" x14ac:dyDescent="0.3">
      <c r="A221" s="1" t="s">
        <v>303</v>
      </c>
      <c r="B221" s="1" t="s">
        <v>304</v>
      </c>
      <c r="C221" s="1" t="s">
        <v>17</v>
      </c>
      <c r="D221" s="2" t="str">
        <f>HYPERLINK("https://inventaire.cncp.gouv.fr/fiches/1538/","1538")</f>
        <v>1538</v>
      </c>
      <c r="E221" s="2" t="str">
        <f>HYPERLINK("http://www.intercariforef.org/formations/certification-86380.html","86380")</f>
        <v>86380</v>
      </c>
      <c r="F221" s="3">
        <v>42340</v>
      </c>
      <c r="G221" s="3">
        <v>42340</v>
      </c>
    </row>
    <row r="222" spans="1:7" ht="26.2" x14ac:dyDescent="0.3">
      <c r="A222" s="1" t="s">
        <v>303</v>
      </c>
      <c r="B222" s="1" t="s">
        <v>305</v>
      </c>
      <c r="C222" s="1" t="s">
        <v>17</v>
      </c>
      <c r="D222" s="2" t="str">
        <f>HYPERLINK("https://inventaire.cncp.gouv.fr/fiches/1541/","1541")</f>
        <v>1541</v>
      </c>
      <c r="E222" s="2" t="str">
        <f>HYPERLINK("http://www.intercariforef.org/formations/certification-86395.html","86395")</f>
        <v>86395</v>
      </c>
      <c r="F222" s="3">
        <v>42340</v>
      </c>
      <c r="G222" s="3">
        <v>42340</v>
      </c>
    </row>
    <row r="223" spans="1:7" ht="26.2" x14ac:dyDescent="0.3">
      <c r="A223" s="1" t="s">
        <v>303</v>
      </c>
      <c r="B223" s="1" t="s">
        <v>306</v>
      </c>
      <c r="C223" s="1" t="s">
        <v>17</v>
      </c>
      <c r="D223" s="2" t="str">
        <f>HYPERLINK("https://inventaire.cncp.gouv.fr/fiches/1531/","1531")</f>
        <v>1531</v>
      </c>
      <c r="E223" s="2" t="str">
        <f>HYPERLINK("http://www.intercariforef.org/formations/certification-86392.html","86392")</f>
        <v>86392</v>
      </c>
      <c r="F223" s="3">
        <v>42340</v>
      </c>
      <c r="G223" s="3">
        <v>42340</v>
      </c>
    </row>
    <row r="224" spans="1:7" ht="26.2" x14ac:dyDescent="0.3">
      <c r="A224" s="1" t="s">
        <v>303</v>
      </c>
      <c r="B224" s="1" t="s">
        <v>307</v>
      </c>
      <c r="C224" s="1" t="s">
        <v>17</v>
      </c>
      <c r="D224" s="2" t="str">
        <f>HYPERLINK("https://inventaire.cncp.gouv.fr/fiches/1412/","1412")</f>
        <v>1412</v>
      </c>
      <c r="E224" s="2" t="str">
        <f>HYPERLINK("http://www.intercariforef.org/formations/certification-86394.html","86394")</f>
        <v>86394</v>
      </c>
      <c r="F224" s="3">
        <v>42340</v>
      </c>
      <c r="G224" s="3">
        <v>42340</v>
      </c>
    </row>
    <row r="225" spans="1:7" ht="26.2" x14ac:dyDescent="0.3">
      <c r="A225" s="1" t="s">
        <v>303</v>
      </c>
      <c r="B225" s="1" t="s">
        <v>308</v>
      </c>
      <c r="C225" s="1" t="s">
        <v>17</v>
      </c>
      <c r="D225" s="2" t="str">
        <f>HYPERLINK("https://inventaire.cncp.gouv.fr/fiches/1414/","1414")</f>
        <v>1414</v>
      </c>
      <c r="E225" s="2" t="str">
        <f>HYPERLINK("http://www.intercariforef.org/formations/certification-86397.html","86397")</f>
        <v>86397</v>
      </c>
      <c r="F225" s="3">
        <v>42340</v>
      </c>
      <c r="G225" s="3">
        <v>42340</v>
      </c>
    </row>
    <row r="226" spans="1:7" ht="26.2" x14ac:dyDescent="0.3">
      <c r="A226" s="1" t="s">
        <v>303</v>
      </c>
      <c r="B226" s="1" t="s">
        <v>309</v>
      </c>
      <c r="C226" s="1" t="s">
        <v>17</v>
      </c>
      <c r="D226" s="2" t="str">
        <f>HYPERLINK("https://inventaire.cncp.gouv.fr/fiches/1557/","1557")</f>
        <v>1557</v>
      </c>
      <c r="E226" s="2" t="str">
        <f>HYPERLINK("http://www.intercariforef.org/formations/certification-86396.html","86396")</f>
        <v>86396</v>
      </c>
      <c r="F226" s="3">
        <v>42340</v>
      </c>
      <c r="G226" s="3">
        <v>42340</v>
      </c>
    </row>
    <row r="227" spans="1:7" ht="26.2" x14ac:dyDescent="0.3">
      <c r="A227" s="1" t="s">
        <v>303</v>
      </c>
      <c r="B227" s="1" t="s">
        <v>310</v>
      </c>
      <c r="C227" s="1" t="s">
        <v>17</v>
      </c>
      <c r="D227" s="2" t="str">
        <f>HYPERLINK("https://inventaire.cncp.gouv.fr/fiches/1535/","1535")</f>
        <v>1535</v>
      </c>
      <c r="E227" s="2" t="str">
        <f>HYPERLINK("http://www.intercariforef.org/formations/certification-86393.html","86393")</f>
        <v>86393</v>
      </c>
      <c r="F227" s="3">
        <v>42340</v>
      </c>
      <c r="G227" s="3">
        <v>42340</v>
      </c>
    </row>
    <row r="228" spans="1:7" x14ac:dyDescent="0.3">
      <c r="A228" s="1" t="s">
        <v>303</v>
      </c>
      <c r="B228" s="1" t="s">
        <v>311</v>
      </c>
      <c r="C228" s="1" t="s">
        <v>75</v>
      </c>
      <c r="D228" s="2" t="str">
        <f>HYPERLINK("https://inventaire.cncp.gouv.fr/fiches/912/","912")</f>
        <v>912</v>
      </c>
      <c r="E228" s="2" t="str">
        <f>HYPERLINK("http://www.intercariforef.org/formations/certification-84993.html","84993")</f>
        <v>84993</v>
      </c>
      <c r="F228" s="3">
        <v>42184</v>
      </c>
      <c r="G228" s="3">
        <v>42184</v>
      </c>
    </row>
    <row r="229" spans="1:7" x14ac:dyDescent="0.3">
      <c r="A229" s="1" t="s">
        <v>303</v>
      </c>
      <c r="B229" s="1" t="s">
        <v>312</v>
      </c>
      <c r="C229" s="1" t="s">
        <v>313</v>
      </c>
      <c r="D229" s="2" t="str">
        <f>HYPERLINK("https://inventaire.cncp.gouv.fr/fiches/1228/","1228")</f>
        <v>1228</v>
      </c>
      <c r="E229" s="2" t="str">
        <f>HYPERLINK("http://www.intercariforef.org/formations/certification-86414.html","86414")</f>
        <v>86414</v>
      </c>
      <c r="F229" s="3">
        <v>42341</v>
      </c>
      <c r="G229" s="3">
        <v>42516</v>
      </c>
    </row>
    <row r="230" spans="1:7" x14ac:dyDescent="0.3">
      <c r="A230" s="1" t="s">
        <v>303</v>
      </c>
      <c r="B230" s="1" t="s">
        <v>314</v>
      </c>
      <c r="C230" s="1" t="s">
        <v>315</v>
      </c>
      <c r="D230" s="2" t="str">
        <f>HYPERLINK("https://inventaire.cncp.gouv.fr/fiches/1688/","1688")</f>
        <v>1688</v>
      </c>
      <c r="E230" s="2" t="str">
        <f>HYPERLINK("http://www.intercariforef.org/formations/certification-88493.html","88493")</f>
        <v>88493</v>
      </c>
      <c r="F230" s="3">
        <v>42465</v>
      </c>
      <c r="G230" s="3">
        <v>42465</v>
      </c>
    </row>
    <row r="231" spans="1:7" x14ac:dyDescent="0.3">
      <c r="A231" s="1" t="s">
        <v>303</v>
      </c>
      <c r="B231" s="1" t="s">
        <v>316</v>
      </c>
      <c r="C231" s="1" t="s">
        <v>75</v>
      </c>
      <c r="D231" s="2" t="str">
        <f>HYPERLINK("https://inventaire.cncp.gouv.fr/fiches/2737/","2737")</f>
        <v>2737</v>
      </c>
      <c r="E231" s="2" t="str">
        <f>HYPERLINK("http://www.intercariforef.org/formations/certification-95675.html","95675")</f>
        <v>95675</v>
      </c>
      <c r="F231" s="3">
        <v>42894</v>
      </c>
      <c r="G231" s="3">
        <v>43152</v>
      </c>
    </row>
    <row r="232" spans="1:7" x14ac:dyDescent="0.3">
      <c r="A232" s="1" t="s">
        <v>303</v>
      </c>
      <c r="B232" s="1" t="s">
        <v>317</v>
      </c>
      <c r="C232" s="1" t="s">
        <v>75</v>
      </c>
      <c r="D232" s="2" t="str">
        <f>HYPERLINK("https://inventaire.cncp.gouv.fr/fiches/2736/","2736")</f>
        <v>2736</v>
      </c>
      <c r="E232" s="2" t="str">
        <f>HYPERLINK("http://www.intercariforef.org/formations/certification-95677.html","95677")</f>
        <v>95677</v>
      </c>
      <c r="F232" s="3">
        <v>42894</v>
      </c>
      <c r="G232" s="3">
        <v>43152</v>
      </c>
    </row>
    <row r="233" spans="1:7" x14ac:dyDescent="0.3">
      <c r="A233" s="1" t="s">
        <v>303</v>
      </c>
      <c r="B233" s="1" t="s">
        <v>318</v>
      </c>
      <c r="C233" s="1" t="s">
        <v>75</v>
      </c>
      <c r="D233" s="2" t="str">
        <f>HYPERLINK("https://inventaire.cncp.gouv.fr/fiches/2670/","2670")</f>
        <v>2670</v>
      </c>
      <c r="E233" s="2" t="str">
        <f>HYPERLINK("http://www.intercariforef.org/formations/certification-94981.html","94981")</f>
        <v>94981</v>
      </c>
      <c r="F233" s="3">
        <v>42838</v>
      </c>
      <c r="G233" s="3">
        <v>43152</v>
      </c>
    </row>
    <row r="234" spans="1:7" x14ac:dyDescent="0.3">
      <c r="A234" s="1" t="s">
        <v>303</v>
      </c>
      <c r="B234" s="1" t="s">
        <v>319</v>
      </c>
      <c r="C234" s="1" t="s">
        <v>75</v>
      </c>
      <c r="D234" s="2" t="str">
        <f>HYPERLINK("https://inventaire.cncp.gouv.fr/fiches/2671/","2671")</f>
        <v>2671</v>
      </c>
      <c r="E234" s="2" t="str">
        <f>HYPERLINK("http://www.intercariforef.org/formations/certification-94979.html","94979")</f>
        <v>94979</v>
      </c>
      <c r="F234" s="3">
        <v>42838</v>
      </c>
      <c r="G234" s="3">
        <v>43152</v>
      </c>
    </row>
    <row r="235" spans="1:7" x14ac:dyDescent="0.3">
      <c r="A235" s="1" t="s">
        <v>303</v>
      </c>
      <c r="B235" s="1" t="s">
        <v>320</v>
      </c>
      <c r="C235" s="1" t="s">
        <v>321</v>
      </c>
      <c r="D235" s="2" t="str">
        <f>HYPERLINK("https://inventaire.cncp.gouv.fr/fiches/2661/","2661")</f>
        <v>2661</v>
      </c>
      <c r="E235" s="2" t="str">
        <f>HYPERLINK("http://www.intercariforef.org/formations/certification-104061.html","104061")</f>
        <v>104061</v>
      </c>
      <c r="F235" s="3">
        <v>43395</v>
      </c>
      <c r="G235" s="3">
        <v>43395</v>
      </c>
    </row>
    <row r="236" spans="1:7" x14ac:dyDescent="0.3">
      <c r="A236" s="1" t="s">
        <v>303</v>
      </c>
      <c r="B236" s="1" t="s">
        <v>322</v>
      </c>
      <c r="C236" s="1" t="s">
        <v>323</v>
      </c>
      <c r="D236" s="2" t="str">
        <f>HYPERLINK("https://inventaire.cncp.gouv.fr/fiches/1733/","1733")</f>
        <v>1733</v>
      </c>
      <c r="E236" s="2" t="str">
        <f>HYPERLINK("http://www.intercariforef.org/formations/certification-88109.html","88109")</f>
        <v>88109</v>
      </c>
      <c r="F236" s="3">
        <v>42445</v>
      </c>
      <c r="G236" s="3">
        <v>42979</v>
      </c>
    </row>
    <row r="237" spans="1:7" x14ac:dyDescent="0.3">
      <c r="A237" s="1" t="s">
        <v>303</v>
      </c>
      <c r="B237" s="1" t="s">
        <v>324</v>
      </c>
      <c r="C237" s="1" t="s">
        <v>323</v>
      </c>
      <c r="D237" s="2" t="str">
        <f>HYPERLINK("https://inventaire.cncp.gouv.fr/fiches/1731/","1731")</f>
        <v>1731</v>
      </c>
      <c r="E237" s="2" t="str">
        <f>HYPERLINK("http://www.intercariforef.org/formations/certification-88111.html","88111")</f>
        <v>88111</v>
      </c>
      <c r="F237" s="3">
        <v>42445</v>
      </c>
      <c r="G237" s="3">
        <v>42979</v>
      </c>
    </row>
    <row r="238" spans="1:7" x14ac:dyDescent="0.3">
      <c r="A238" s="1" t="s">
        <v>303</v>
      </c>
      <c r="B238" s="1" t="s">
        <v>325</v>
      </c>
      <c r="C238" s="1" t="s">
        <v>326</v>
      </c>
      <c r="D238" s="2" t="str">
        <f>HYPERLINK("https://inventaire.cncp.gouv.fr/fiches/3315/","3315")</f>
        <v>3315</v>
      </c>
      <c r="E238" s="2" t="str">
        <f>HYPERLINK("http://www.intercariforef.org/formations/certification-100081.html","100081")</f>
        <v>100081</v>
      </c>
      <c r="F238" s="3">
        <v>43152</v>
      </c>
      <c r="G238" s="3">
        <v>43152</v>
      </c>
    </row>
    <row r="239" spans="1:7" x14ac:dyDescent="0.3">
      <c r="A239" s="1" t="s">
        <v>303</v>
      </c>
      <c r="B239" s="1" t="s">
        <v>327</v>
      </c>
      <c r="C239" s="1" t="s">
        <v>328</v>
      </c>
      <c r="D239" s="2" t="str">
        <f>HYPERLINK("https://inventaire.cncp.gouv.fr/fiches/2029/","2029")</f>
        <v>2029</v>
      </c>
      <c r="E239" s="2" t="str">
        <f>HYPERLINK("http://www.intercariforef.org/formations/certification-90555.html","90555")</f>
        <v>90555</v>
      </c>
      <c r="F239" s="3">
        <v>42615</v>
      </c>
      <c r="G239" s="3">
        <v>42615</v>
      </c>
    </row>
    <row r="240" spans="1:7" x14ac:dyDescent="0.3">
      <c r="A240" s="1" t="s">
        <v>303</v>
      </c>
      <c r="B240" s="1" t="s">
        <v>329</v>
      </c>
      <c r="C240" s="1" t="s">
        <v>328</v>
      </c>
      <c r="D240" s="2" t="str">
        <f>HYPERLINK("https://inventaire.cncp.gouv.fr/fiches/2027/","2027")</f>
        <v>2027</v>
      </c>
      <c r="E240" s="2" t="str">
        <f>HYPERLINK("http://www.intercariforef.org/formations/certification-90559.html","90559")</f>
        <v>90559</v>
      </c>
      <c r="F240" s="3">
        <v>42615</v>
      </c>
      <c r="G240" s="3">
        <v>42615</v>
      </c>
    </row>
    <row r="241" spans="1:7" x14ac:dyDescent="0.3">
      <c r="A241" s="1" t="s">
        <v>303</v>
      </c>
      <c r="B241" s="1" t="s">
        <v>330</v>
      </c>
      <c r="C241" s="1" t="s">
        <v>331</v>
      </c>
      <c r="D241" s="2" t="str">
        <f>HYPERLINK("https://inventaire.cncp.gouv.fr/fiches/2903/","2903")</f>
        <v>2903</v>
      </c>
      <c r="E241" s="2" t="str">
        <f>HYPERLINK("http://www.intercariforef.org/formations/certification-98639.html","98639")</f>
        <v>98639</v>
      </c>
      <c r="F241" s="3">
        <v>43038</v>
      </c>
      <c r="G241" s="3">
        <v>43038</v>
      </c>
    </row>
    <row r="242" spans="1:7" x14ac:dyDescent="0.3">
      <c r="A242" s="1" t="s">
        <v>303</v>
      </c>
      <c r="B242" s="1" t="s">
        <v>332</v>
      </c>
      <c r="C242" s="1" t="s">
        <v>328</v>
      </c>
      <c r="D242" s="2" t="str">
        <f>HYPERLINK("https://inventaire.cncp.gouv.fr/fiches/2028/","2028")</f>
        <v>2028</v>
      </c>
      <c r="E242" s="2" t="str">
        <f>HYPERLINK("http://www.intercariforef.org/formations/certification-90557.html","90557")</f>
        <v>90557</v>
      </c>
      <c r="F242" s="3">
        <v>42615</v>
      </c>
      <c r="G242" s="3">
        <v>42615</v>
      </c>
    </row>
    <row r="243" spans="1:7" x14ac:dyDescent="0.3">
      <c r="A243" s="1" t="s">
        <v>303</v>
      </c>
      <c r="B243" s="1" t="s">
        <v>333</v>
      </c>
      <c r="C243" s="1" t="s">
        <v>334</v>
      </c>
      <c r="D243" s="2" t="str">
        <f>HYPERLINK("https://inventaire.cncp.gouv.fr/fiches/1805/","1805")</f>
        <v>1805</v>
      </c>
      <c r="E243" s="2" t="str">
        <f>HYPERLINK("http://www.intercariforef.org/formations/certification-83561.html","83561")</f>
        <v>83561</v>
      </c>
      <c r="F243" s="3">
        <v>41964</v>
      </c>
      <c r="G243" s="3">
        <v>43125</v>
      </c>
    </row>
    <row r="244" spans="1:7" ht="26.2" x14ac:dyDescent="0.3">
      <c r="A244" s="1" t="s">
        <v>303</v>
      </c>
      <c r="B244" s="1" t="s">
        <v>335</v>
      </c>
      <c r="C244" s="1" t="s">
        <v>336</v>
      </c>
      <c r="D244" s="2" t="str">
        <f>HYPERLINK("https://inventaire.cncp.gouv.fr/fiches/3770/","3770")</f>
        <v>3770</v>
      </c>
      <c r="E244" s="2" t="str">
        <f>HYPERLINK("http://www.intercariforef.org/formations/certification-102681.html","102681")</f>
        <v>102681</v>
      </c>
      <c r="F244" s="3">
        <v>43301</v>
      </c>
      <c r="G244" s="3">
        <v>43301</v>
      </c>
    </row>
    <row r="245" spans="1:7" x14ac:dyDescent="0.3">
      <c r="A245" s="1" t="s">
        <v>303</v>
      </c>
      <c r="B245" s="1" t="s">
        <v>337</v>
      </c>
      <c r="C245" s="1" t="s">
        <v>70</v>
      </c>
      <c r="D245" s="2" t="str">
        <f>HYPERLINK("https://inventaire.cncp.gouv.fr/fiches/2313/","2313")</f>
        <v>2313</v>
      </c>
      <c r="E245" s="2" t="str">
        <f>HYPERLINK("http://www.intercariforef.org/formations/certification-92951.html","92951")</f>
        <v>92951</v>
      </c>
      <c r="F245" s="3">
        <v>42688</v>
      </c>
      <c r="G245" s="3">
        <v>43111</v>
      </c>
    </row>
    <row r="246" spans="1:7" x14ac:dyDescent="0.3">
      <c r="A246" s="1" t="s">
        <v>303</v>
      </c>
      <c r="B246" s="1" t="s">
        <v>338</v>
      </c>
      <c r="C246" s="1" t="s">
        <v>339</v>
      </c>
      <c r="D246" s="2" t="str">
        <f>HYPERLINK("https://inventaire.cncp.gouv.fr/fiches/2647/","2647")</f>
        <v>2647</v>
      </c>
      <c r="E246" s="2" t="str">
        <f>HYPERLINK("http://www.intercariforef.org/formations/certification-100377.html","100377")</f>
        <v>100377</v>
      </c>
      <c r="F246" s="3">
        <v>43167</v>
      </c>
      <c r="G246" s="3">
        <v>43167</v>
      </c>
    </row>
    <row r="247" spans="1:7" x14ac:dyDescent="0.3">
      <c r="A247" s="1" t="s">
        <v>303</v>
      </c>
      <c r="B247" s="1" t="s">
        <v>340</v>
      </c>
      <c r="C247" s="1" t="s">
        <v>70</v>
      </c>
      <c r="D247" s="2" t="str">
        <f>HYPERLINK("https://inventaire.cncp.gouv.fr/fiches/1282/","1282")</f>
        <v>1282</v>
      </c>
      <c r="E247" s="2" t="str">
        <f>HYPERLINK("http://www.intercariforef.org/formations/certification-85567.html","85567")</f>
        <v>85567</v>
      </c>
      <c r="F247" s="3">
        <v>42269</v>
      </c>
      <c r="G247" s="3">
        <v>43111</v>
      </c>
    </row>
    <row r="248" spans="1:7" x14ac:dyDescent="0.3">
      <c r="A248" s="1" t="s">
        <v>303</v>
      </c>
      <c r="B248" s="1" t="s">
        <v>341</v>
      </c>
      <c r="C248" s="1" t="s">
        <v>342</v>
      </c>
      <c r="D248" s="2" t="str">
        <f>HYPERLINK("https://inventaire.cncp.gouv.fr/fiches/2170/","2170")</f>
        <v>2170</v>
      </c>
      <c r="E248" s="2" t="str">
        <f>HYPERLINK("http://www.intercariforef.org/formations/certification-102661.html","102661")</f>
        <v>102661</v>
      </c>
      <c r="F248" s="3">
        <v>43300</v>
      </c>
      <c r="G248" s="3">
        <v>43300</v>
      </c>
    </row>
    <row r="249" spans="1:7" x14ac:dyDescent="0.3">
      <c r="A249" s="1" t="s">
        <v>303</v>
      </c>
      <c r="B249" s="1" t="s">
        <v>343</v>
      </c>
      <c r="C249" s="1" t="s">
        <v>342</v>
      </c>
      <c r="D249" s="2" t="str">
        <f>HYPERLINK("https://inventaire.cncp.gouv.fr/fiches/2174/","2174")</f>
        <v>2174</v>
      </c>
      <c r="E249" s="2" t="str">
        <f>HYPERLINK("http://www.intercariforef.org/formations/certification-104065.html","104065")</f>
        <v>104065</v>
      </c>
      <c r="F249" s="3">
        <v>43395</v>
      </c>
      <c r="G249" s="3">
        <v>43395</v>
      </c>
    </row>
    <row r="250" spans="1:7" x14ac:dyDescent="0.3">
      <c r="A250" s="1" t="s">
        <v>303</v>
      </c>
      <c r="B250" s="1" t="s">
        <v>344</v>
      </c>
      <c r="C250" s="1" t="s">
        <v>345</v>
      </c>
      <c r="D250" s="2" t="str">
        <f>HYPERLINK("https://inventaire.cncp.gouv.fr/fiches/1698/","1698")</f>
        <v>1698</v>
      </c>
      <c r="E250" s="2" t="str">
        <f>HYPERLINK("http://www.intercariforef.org/formations/certification-87629.html","87629")</f>
        <v>87629</v>
      </c>
      <c r="F250" s="3">
        <v>42415</v>
      </c>
      <c r="G250" s="3">
        <v>42415</v>
      </c>
    </row>
    <row r="251" spans="1:7" x14ac:dyDescent="0.3">
      <c r="A251" s="1" t="s">
        <v>303</v>
      </c>
      <c r="B251" s="1" t="s">
        <v>346</v>
      </c>
      <c r="C251" s="1" t="s">
        <v>347</v>
      </c>
      <c r="D251" s="2" t="str">
        <f>HYPERLINK("https://inventaire.cncp.gouv.fr/fiches/1897/","1897")</f>
        <v>1897</v>
      </c>
      <c r="E251" s="2" t="str">
        <f>HYPERLINK("http://www.intercariforef.org/formations/certification-98373.html","98373")</f>
        <v>98373</v>
      </c>
      <c r="F251" s="3">
        <v>43027</v>
      </c>
      <c r="G251" s="3">
        <v>43027</v>
      </c>
    </row>
    <row r="252" spans="1:7" x14ac:dyDescent="0.3">
      <c r="A252" s="1" t="s">
        <v>303</v>
      </c>
      <c r="B252" s="1" t="s">
        <v>348</v>
      </c>
      <c r="C252" s="1" t="s">
        <v>347</v>
      </c>
      <c r="D252" s="2" t="str">
        <f>HYPERLINK("https://inventaire.cncp.gouv.fr/fiches/1891/","1891")</f>
        <v>1891</v>
      </c>
      <c r="E252" s="2" t="str">
        <f>HYPERLINK("http://www.intercariforef.org/formations/certification-98371.html","98371")</f>
        <v>98371</v>
      </c>
      <c r="F252" s="3">
        <v>43027</v>
      </c>
      <c r="G252" s="3">
        <v>43027</v>
      </c>
    </row>
    <row r="253" spans="1:7" x14ac:dyDescent="0.3">
      <c r="A253" s="1" t="s">
        <v>303</v>
      </c>
      <c r="B253" s="1" t="s">
        <v>349</v>
      </c>
      <c r="C253" s="1" t="s">
        <v>350</v>
      </c>
      <c r="D253" s="2" t="str">
        <f>HYPERLINK("https://inventaire.cncp.gouv.fr/fiches/2837/","2837")</f>
        <v>2837</v>
      </c>
      <c r="E253" s="2" t="str">
        <f>HYPERLINK("http://www.intercariforef.org/formations/certification-95597.html","95597")</f>
        <v>95597</v>
      </c>
      <c r="F253" s="3">
        <v>42893</v>
      </c>
      <c r="G253" s="3">
        <v>43392</v>
      </c>
    </row>
    <row r="254" spans="1:7" x14ac:dyDescent="0.3">
      <c r="A254" s="1" t="s">
        <v>303</v>
      </c>
      <c r="B254" s="1" t="s">
        <v>351</v>
      </c>
      <c r="C254" s="1" t="s">
        <v>339</v>
      </c>
      <c r="D254" s="2" t="str">
        <f>HYPERLINK("https://inventaire.cncp.gouv.fr/fiches/2637/","2637")</f>
        <v>2637</v>
      </c>
      <c r="E254" s="2" t="str">
        <f>HYPERLINK("http://www.intercariforef.org/formations/certification-100375.html","100375")</f>
        <v>100375</v>
      </c>
      <c r="F254" s="3">
        <v>43167</v>
      </c>
      <c r="G254" s="3">
        <v>43167</v>
      </c>
    </row>
    <row r="255" spans="1:7" x14ac:dyDescent="0.3">
      <c r="A255" s="1" t="s">
        <v>303</v>
      </c>
      <c r="B255" s="1" t="s">
        <v>352</v>
      </c>
      <c r="C255" s="1" t="s">
        <v>339</v>
      </c>
      <c r="D255" s="2" t="str">
        <f>HYPERLINK("https://inventaire.cncp.gouv.fr/fiches/2630/","2630")</f>
        <v>2630</v>
      </c>
      <c r="E255" s="2" t="str">
        <f>HYPERLINK("http://www.intercariforef.org/formations/certification-100373.html","100373")</f>
        <v>100373</v>
      </c>
      <c r="F255" s="3">
        <v>43167</v>
      </c>
      <c r="G255" s="3">
        <v>43167</v>
      </c>
    </row>
    <row r="256" spans="1:7" x14ac:dyDescent="0.3">
      <c r="A256" s="1" t="s">
        <v>303</v>
      </c>
      <c r="B256" s="1" t="s">
        <v>353</v>
      </c>
      <c r="C256" s="1" t="s">
        <v>339</v>
      </c>
      <c r="D256" s="2" t="str">
        <f>HYPERLINK("https://inventaire.cncp.gouv.fr/fiches/2628/","2628")</f>
        <v>2628</v>
      </c>
      <c r="E256" s="2" t="str">
        <f>HYPERLINK("http://www.intercariforef.org/formations/certification-100371.html","100371")</f>
        <v>100371</v>
      </c>
      <c r="F256" s="3">
        <v>43167</v>
      </c>
      <c r="G256" s="3">
        <v>43167</v>
      </c>
    </row>
    <row r="257" spans="1:7" x14ac:dyDescent="0.3">
      <c r="A257" s="1" t="s">
        <v>354</v>
      </c>
      <c r="B257" s="1" t="s">
        <v>355</v>
      </c>
      <c r="C257" s="1" t="s">
        <v>356</v>
      </c>
      <c r="D257" s="2" t="str">
        <f>HYPERLINK("https://inventaire.cncp.gouv.fr/fiches/1933/","1933")</f>
        <v>1933</v>
      </c>
      <c r="E257" s="2" t="str">
        <f>HYPERLINK("http://www.intercariforef.org/formations/certification-92129.html","92129")</f>
        <v>92129</v>
      </c>
      <c r="F257" s="3">
        <v>42667</v>
      </c>
      <c r="G257" s="3">
        <v>42667</v>
      </c>
    </row>
    <row r="258" spans="1:7" x14ac:dyDescent="0.3">
      <c r="A258" s="1" t="s">
        <v>354</v>
      </c>
      <c r="B258" s="1" t="s">
        <v>357</v>
      </c>
      <c r="C258" s="1" t="s">
        <v>356</v>
      </c>
      <c r="D258" s="2" t="str">
        <f>HYPERLINK("https://inventaire.cncp.gouv.fr/fiches/1934/","1934")</f>
        <v>1934</v>
      </c>
      <c r="E258" s="2" t="str">
        <f>HYPERLINK("http://www.intercariforef.org/formations/certification-92111.html","92111")</f>
        <v>92111</v>
      </c>
      <c r="F258" s="3">
        <v>42667</v>
      </c>
      <c r="G258" s="3">
        <v>42667</v>
      </c>
    </row>
    <row r="259" spans="1:7" x14ac:dyDescent="0.3">
      <c r="A259" s="1" t="s">
        <v>354</v>
      </c>
      <c r="B259" s="1" t="s">
        <v>358</v>
      </c>
      <c r="C259" s="1" t="s">
        <v>359</v>
      </c>
      <c r="D259" s="2" t="str">
        <f>HYPERLINK("https://inventaire.cncp.gouv.fr/fiches/650/","650")</f>
        <v>650</v>
      </c>
      <c r="E259" s="2" t="str">
        <f>HYPERLINK("http://www.intercariforef.org/formations/certification-84872.html","84872")</f>
        <v>84872</v>
      </c>
      <c r="F259" s="3">
        <v>42177</v>
      </c>
      <c r="G259" s="3">
        <v>42177</v>
      </c>
    </row>
    <row r="260" spans="1:7" x14ac:dyDescent="0.3">
      <c r="A260" s="1" t="s">
        <v>354</v>
      </c>
      <c r="B260" s="1" t="s">
        <v>360</v>
      </c>
      <c r="C260" s="1" t="s">
        <v>361</v>
      </c>
      <c r="D260" s="2" t="str">
        <f>HYPERLINK("https://inventaire.cncp.gouv.fr/fiches/2277/","2277")</f>
        <v>2277</v>
      </c>
      <c r="E260" s="2" t="str">
        <f>HYPERLINK("http://www.intercariforef.org/formations/certification-92063.html","92063")</f>
        <v>92063</v>
      </c>
      <c r="F260" s="3">
        <v>42667</v>
      </c>
      <c r="G260" s="3">
        <v>42667</v>
      </c>
    </row>
    <row r="261" spans="1:7" x14ac:dyDescent="0.3">
      <c r="A261" s="1" t="s">
        <v>354</v>
      </c>
      <c r="B261" s="1" t="s">
        <v>362</v>
      </c>
      <c r="C261" s="1" t="s">
        <v>361</v>
      </c>
      <c r="D261" s="2" t="str">
        <f>HYPERLINK("https://inventaire.cncp.gouv.fr/fiches/2279/","2279")</f>
        <v>2279</v>
      </c>
      <c r="E261" s="2" t="str">
        <f>HYPERLINK("http://www.intercariforef.org/formations/certification-92057.html","92057")</f>
        <v>92057</v>
      </c>
      <c r="F261" s="3">
        <v>42667</v>
      </c>
      <c r="G261" s="3">
        <v>42667</v>
      </c>
    </row>
    <row r="262" spans="1:7" x14ac:dyDescent="0.3">
      <c r="A262" s="1" t="s">
        <v>354</v>
      </c>
      <c r="B262" s="1" t="s">
        <v>363</v>
      </c>
      <c r="C262" s="1" t="s">
        <v>361</v>
      </c>
      <c r="D262" s="2" t="str">
        <f>HYPERLINK("https://inventaire.cncp.gouv.fr/fiches/2278/","2278")</f>
        <v>2278</v>
      </c>
      <c r="E262" s="2" t="str">
        <f>HYPERLINK("http://www.intercariforef.org/formations/certification-92061.html","92061")</f>
        <v>92061</v>
      </c>
      <c r="F262" s="3">
        <v>42667</v>
      </c>
      <c r="G262" s="3">
        <v>42667</v>
      </c>
    </row>
    <row r="263" spans="1:7" x14ac:dyDescent="0.3">
      <c r="A263" s="1" t="s">
        <v>354</v>
      </c>
      <c r="B263" s="1" t="s">
        <v>364</v>
      </c>
      <c r="C263" s="1" t="s">
        <v>331</v>
      </c>
      <c r="D263" s="2" t="str">
        <f>HYPERLINK("https://inventaire.cncp.gouv.fr/fiches/2902/","2902")</f>
        <v>2902</v>
      </c>
      <c r="E263" s="2" t="str">
        <f>HYPERLINK("http://www.intercariforef.org/formations/certification-98641.html","98641")</f>
        <v>98641</v>
      </c>
      <c r="F263" s="3">
        <v>43038</v>
      </c>
      <c r="G263" s="3">
        <v>43038</v>
      </c>
    </row>
    <row r="264" spans="1:7" x14ac:dyDescent="0.3">
      <c r="A264" s="1" t="s">
        <v>354</v>
      </c>
      <c r="B264" s="1" t="s">
        <v>365</v>
      </c>
      <c r="C264" s="1" t="s">
        <v>359</v>
      </c>
      <c r="D264" s="2" t="str">
        <f>HYPERLINK("https://inventaire.cncp.gouv.fr/fiches/639/","639")</f>
        <v>639</v>
      </c>
      <c r="E264" s="2" t="str">
        <f>HYPERLINK("http://www.intercariforef.org/formations/certification-84964.html","84964")</f>
        <v>84964</v>
      </c>
      <c r="F264" s="3">
        <v>42178</v>
      </c>
      <c r="G264" s="3">
        <v>42178</v>
      </c>
    </row>
    <row r="265" spans="1:7" x14ac:dyDescent="0.3">
      <c r="A265" s="1" t="s">
        <v>354</v>
      </c>
      <c r="B265" s="1" t="s">
        <v>366</v>
      </c>
      <c r="C265" s="1" t="s">
        <v>361</v>
      </c>
      <c r="D265" s="2" t="str">
        <f>HYPERLINK("https://inventaire.cncp.gouv.fr/fiches/2284/","2284")</f>
        <v>2284</v>
      </c>
      <c r="E265" s="2" t="str">
        <f>HYPERLINK("http://www.intercariforef.org/formations/certification-92053.html","92053")</f>
        <v>92053</v>
      </c>
      <c r="F265" s="3">
        <v>42667</v>
      </c>
      <c r="G265" s="3">
        <v>42667</v>
      </c>
    </row>
    <row r="266" spans="1:7" x14ac:dyDescent="0.3">
      <c r="A266" s="1" t="s">
        <v>354</v>
      </c>
      <c r="B266" s="1" t="s">
        <v>367</v>
      </c>
      <c r="C266" s="1" t="s">
        <v>368</v>
      </c>
      <c r="D266" s="2" t="str">
        <f>HYPERLINK("https://inventaire.cncp.gouv.fr/fiches/1933/","1933")</f>
        <v>1933</v>
      </c>
      <c r="E266" s="2" t="str">
        <f>HYPERLINK("http://www.intercariforef.org/formations/certification-92103.html","92103")</f>
        <v>92103</v>
      </c>
      <c r="F266" s="3">
        <v>42667</v>
      </c>
      <c r="G266" s="3">
        <v>42667</v>
      </c>
    </row>
    <row r="267" spans="1:7" ht="26.2" x14ac:dyDescent="0.3">
      <c r="A267" s="1" t="s">
        <v>354</v>
      </c>
      <c r="B267" s="1" t="s">
        <v>369</v>
      </c>
      <c r="C267" s="1" t="s">
        <v>370</v>
      </c>
      <c r="D267" s="2" t="str">
        <f>HYPERLINK("https://inventaire.cncp.gouv.fr/fiches/3080/","3080")</f>
        <v>3080</v>
      </c>
      <c r="E267" s="2" t="str">
        <f>HYPERLINK("http://www.intercariforef.org/formations/certification-98487.html","98487")</f>
        <v>98487</v>
      </c>
      <c r="F267" s="3">
        <v>43032</v>
      </c>
      <c r="G267" s="3">
        <v>43032</v>
      </c>
    </row>
    <row r="268" spans="1:7" ht="26.2" x14ac:dyDescent="0.3">
      <c r="A268" s="1" t="s">
        <v>354</v>
      </c>
      <c r="B268" s="1" t="s">
        <v>371</v>
      </c>
      <c r="C268" s="1" t="s">
        <v>372</v>
      </c>
      <c r="D268" s="2" t="str">
        <f>HYPERLINK("https://inventaire.cncp.gouv.fr/fiches/2451/","2451")</f>
        <v>2451</v>
      </c>
      <c r="E268" s="2" t="str">
        <f>HYPERLINK("http://www.intercariforef.org/formations/certification-93823.html","93823")</f>
        <v>93823</v>
      </c>
      <c r="F268" s="3">
        <v>42740</v>
      </c>
      <c r="G268" s="3">
        <v>42740</v>
      </c>
    </row>
    <row r="269" spans="1:7" x14ac:dyDescent="0.3">
      <c r="A269" s="1" t="s">
        <v>354</v>
      </c>
      <c r="B269" s="1" t="s">
        <v>373</v>
      </c>
      <c r="C269" s="1" t="s">
        <v>374</v>
      </c>
      <c r="D269" s="2" t="str">
        <f>HYPERLINK("https://inventaire.cncp.gouv.fr/fiches/1310/","1310")</f>
        <v>1310</v>
      </c>
      <c r="E269" s="2" t="str">
        <f>HYPERLINK("http://www.intercariforef.org/formations/certification-84155.html","84155")</f>
        <v>84155</v>
      </c>
      <c r="F269" s="3">
        <v>42052</v>
      </c>
      <c r="G269" s="3">
        <v>43125</v>
      </c>
    </row>
    <row r="270" spans="1:7" x14ac:dyDescent="0.3">
      <c r="A270" s="1" t="s">
        <v>375</v>
      </c>
      <c r="B270" s="1" t="s">
        <v>376</v>
      </c>
      <c r="C270" s="1" t="s">
        <v>377</v>
      </c>
      <c r="D270" s="2" t="str">
        <f>HYPERLINK("https://inventaire.cncp.gouv.fr/fiches/3812/","3812")</f>
        <v>3812</v>
      </c>
      <c r="E270" s="2" t="str">
        <f>HYPERLINK("http://www.intercariforef.org/formations/certification-102161.html","102161")</f>
        <v>102161</v>
      </c>
      <c r="F270" s="3">
        <v>43293</v>
      </c>
      <c r="G270" s="3">
        <v>43293</v>
      </c>
    </row>
    <row r="271" spans="1:7" x14ac:dyDescent="0.3">
      <c r="A271" s="1" t="s">
        <v>375</v>
      </c>
      <c r="B271" s="1" t="s">
        <v>378</v>
      </c>
      <c r="C271" s="1" t="s">
        <v>379</v>
      </c>
      <c r="D271" s="2" t="str">
        <f>HYPERLINK("https://inventaire.cncp.gouv.fr/fiches/2515/","2515")</f>
        <v>2515</v>
      </c>
      <c r="E271" s="2" t="str">
        <f>HYPERLINK("http://www.intercariforef.org/formations/certification-95245.html","95245")</f>
        <v>95245</v>
      </c>
      <c r="F271" s="3">
        <v>42851</v>
      </c>
      <c r="G271" s="3">
        <v>42851</v>
      </c>
    </row>
    <row r="272" spans="1:7" x14ac:dyDescent="0.3">
      <c r="A272" s="1" t="s">
        <v>380</v>
      </c>
      <c r="B272" s="1" t="s">
        <v>381</v>
      </c>
      <c r="C272" s="1" t="s">
        <v>382</v>
      </c>
      <c r="D272" s="2" t="str">
        <f>HYPERLINK("https://inventaire.cncp.gouv.fr/fiches/3230/","3230")</f>
        <v>3230</v>
      </c>
      <c r="E272" s="2" t="str">
        <f>HYPERLINK("http://www.intercariforef.org/formations/certification-101207.html","101207")</f>
        <v>101207</v>
      </c>
      <c r="F272" s="3">
        <v>43251</v>
      </c>
      <c r="G272" s="3">
        <v>43251</v>
      </c>
    </row>
    <row r="273" spans="1:7" x14ac:dyDescent="0.3">
      <c r="A273" s="1" t="s">
        <v>380</v>
      </c>
      <c r="B273" s="1" t="s">
        <v>383</v>
      </c>
      <c r="C273" s="1" t="s">
        <v>384</v>
      </c>
      <c r="D273" s="2" t="str">
        <f>HYPERLINK("https://inventaire.cncp.gouv.fr/fiches/3637/","3637")</f>
        <v>3637</v>
      </c>
      <c r="E273" s="2" t="str">
        <f>HYPERLINK("http://www.intercariforef.org/formations/certification-102699.html","102699")</f>
        <v>102699</v>
      </c>
      <c r="F273" s="3">
        <v>43301</v>
      </c>
      <c r="G273" s="3">
        <v>43301</v>
      </c>
    </row>
    <row r="274" spans="1:7" x14ac:dyDescent="0.3">
      <c r="A274" s="1" t="s">
        <v>380</v>
      </c>
      <c r="B274" s="1" t="s">
        <v>385</v>
      </c>
      <c r="C274" s="1" t="s">
        <v>384</v>
      </c>
      <c r="D274" s="2" t="str">
        <f>HYPERLINK("https://inventaire.cncp.gouv.fr/fiches/3646/","3646")</f>
        <v>3646</v>
      </c>
      <c r="E274" s="2" t="str">
        <f>HYPERLINK("http://www.intercariforef.org/formations/certification-102431.html","102431")</f>
        <v>102431</v>
      </c>
      <c r="F274" s="3">
        <v>43298</v>
      </c>
      <c r="G274" s="3">
        <v>43298</v>
      </c>
    </row>
    <row r="275" spans="1:7" ht="26.2" x14ac:dyDescent="0.3">
      <c r="A275" s="1" t="s">
        <v>380</v>
      </c>
      <c r="B275" s="1" t="s">
        <v>386</v>
      </c>
      <c r="C275" s="1" t="s">
        <v>387</v>
      </c>
      <c r="D275" s="2" t="str">
        <f>HYPERLINK("https://inventaire.cncp.gouv.fr/fiches/2176/","2176")</f>
        <v>2176</v>
      </c>
      <c r="E275" s="2" t="str">
        <f>HYPERLINK("http://www.intercariforef.org/formations/certification-91899.html","91899")</f>
        <v>91899</v>
      </c>
      <c r="F275" s="3">
        <v>42662</v>
      </c>
      <c r="G275" s="3">
        <v>42662</v>
      </c>
    </row>
    <row r="276" spans="1:7" x14ac:dyDescent="0.3">
      <c r="A276" s="1" t="s">
        <v>380</v>
      </c>
      <c r="B276" s="1" t="s">
        <v>388</v>
      </c>
      <c r="C276" s="1" t="s">
        <v>331</v>
      </c>
      <c r="D276" s="2" t="str">
        <f>HYPERLINK("https://inventaire.cncp.gouv.fr/fiches/2905/","2905")</f>
        <v>2905</v>
      </c>
      <c r="E276" s="2" t="str">
        <f>HYPERLINK("http://www.intercariforef.org/formations/certification-98635.html","98635")</f>
        <v>98635</v>
      </c>
      <c r="F276" s="3">
        <v>43038</v>
      </c>
      <c r="G276" s="3">
        <v>43038</v>
      </c>
    </row>
    <row r="277" spans="1:7" ht="26.2" x14ac:dyDescent="0.3">
      <c r="A277" s="1" t="s">
        <v>380</v>
      </c>
      <c r="B277" s="1" t="s">
        <v>389</v>
      </c>
      <c r="C277" s="1" t="s">
        <v>390</v>
      </c>
      <c r="D277" s="2" t="str">
        <f>HYPERLINK("https://inventaire.cncp.gouv.fr/fiches/1370/","1370")</f>
        <v>1370</v>
      </c>
      <c r="E277" s="2" t="str">
        <f>HYPERLINK("http://www.intercariforef.org/formations/certification-86789.html","86789")</f>
        <v>86789</v>
      </c>
      <c r="F277" s="3">
        <v>42381</v>
      </c>
      <c r="G277" s="3">
        <v>42381</v>
      </c>
    </row>
    <row r="278" spans="1:7" ht="26.2" x14ac:dyDescent="0.3">
      <c r="A278" s="1" t="s">
        <v>380</v>
      </c>
      <c r="B278" s="1" t="s">
        <v>391</v>
      </c>
      <c r="C278" s="1" t="s">
        <v>392</v>
      </c>
      <c r="D278" s="2" t="str">
        <f>HYPERLINK("https://inventaire.cncp.gouv.fr/fiches/1342/","1342")</f>
        <v>1342</v>
      </c>
      <c r="E278" s="2" t="str">
        <f>HYPERLINK("http://www.intercariforef.org/formations/certification-86498.html","86498")</f>
        <v>86498</v>
      </c>
      <c r="F278" s="3">
        <v>42345</v>
      </c>
      <c r="G278" s="3">
        <v>42718</v>
      </c>
    </row>
    <row r="279" spans="1:7" x14ac:dyDescent="0.3">
      <c r="A279" s="1" t="s">
        <v>380</v>
      </c>
      <c r="B279" s="1" t="s">
        <v>393</v>
      </c>
      <c r="C279" s="1" t="s">
        <v>384</v>
      </c>
      <c r="D279" s="2" t="str">
        <f>HYPERLINK("https://inventaire.cncp.gouv.fr/fiches/3653/","3653")</f>
        <v>3653</v>
      </c>
      <c r="E279" s="2" t="str">
        <f>HYPERLINK("http://www.intercariforef.org/formations/certification-102693.html","102693")</f>
        <v>102693</v>
      </c>
      <c r="F279" s="3">
        <v>43301</v>
      </c>
      <c r="G279" s="3">
        <v>43301</v>
      </c>
    </row>
    <row r="280" spans="1:7" x14ac:dyDescent="0.3">
      <c r="A280" s="1" t="s">
        <v>380</v>
      </c>
      <c r="B280" s="1" t="s">
        <v>394</v>
      </c>
      <c r="C280" s="1" t="s">
        <v>395</v>
      </c>
      <c r="D280" s="2" t="str">
        <f>HYPERLINK("https://inventaire.cncp.gouv.fr/fiches/3735/","3735")</f>
        <v>3735</v>
      </c>
      <c r="E280" s="2" t="str">
        <f>HYPERLINK("http://www.intercariforef.org/formations/certification-102459.html","102459")</f>
        <v>102459</v>
      </c>
      <c r="F280" s="3">
        <v>43298</v>
      </c>
      <c r="G280" s="3">
        <v>43298</v>
      </c>
    </row>
    <row r="281" spans="1:7" x14ac:dyDescent="0.3">
      <c r="A281" s="1" t="s">
        <v>380</v>
      </c>
      <c r="B281" s="1" t="s">
        <v>396</v>
      </c>
      <c r="C281" s="1" t="s">
        <v>397</v>
      </c>
      <c r="D281" s="2" t="str">
        <f>HYPERLINK("https://inventaire.cncp.gouv.fr/fiches/3530/","3530")</f>
        <v>3530</v>
      </c>
      <c r="E281" s="2" t="str">
        <f>HYPERLINK("http://www.intercariforef.org/formations/certification-100681.html","100681")</f>
        <v>100681</v>
      </c>
      <c r="F281" s="3">
        <v>43195</v>
      </c>
      <c r="G281" s="3">
        <v>43195</v>
      </c>
    </row>
    <row r="282" spans="1:7" x14ac:dyDescent="0.3">
      <c r="A282" s="1" t="s">
        <v>380</v>
      </c>
      <c r="B282" s="1" t="s">
        <v>398</v>
      </c>
      <c r="C282" s="1" t="s">
        <v>399</v>
      </c>
      <c r="D282" s="2" t="str">
        <f>HYPERLINK("https://inventaire.cncp.gouv.fr/fiches/1743/","1743")</f>
        <v>1743</v>
      </c>
      <c r="E282" s="2" t="str">
        <f>HYPERLINK("http://www.intercariforef.org/formations/certification-89295.html","89295")</f>
        <v>89295</v>
      </c>
      <c r="F282" s="3">
        <v>42523</v>
      </c>
      <c r="G282" s="3">
        <v>42979</v>
      </c>
    </row>
    <row r="283" spans="1:7" x14ac:dyDescent="0.3">
      <c r="A283" s="1" t="s">
        <v>380</v>
      </c>
      <c r="B283" s="1" t="s">
        <v>400</v>
      </c>
      <c r="C283" s="1" t="s">
        <v>384</v>
      </c>
      <c r="D283" s="2" t="str">
        <f>HYPERLINK("https://inventaire.cncp.gouv.fr/fiches/3639/","3639")</f>
        <v>3639</v>
      </c>
      <c r="E283" s="2" t="str">
        <f>HYPERLINK("http://www.intercariforef.org/formations/certification-102697.html","102697")</f>
        <v>102697</v>
      </c>
      <c r="F283" s="3">
        <v>43301</v>
      </c>
      <c r="G283" s="3">
        <v>43301</v>
      </c>
    </row>
    <row r="284" spans="1:7" x14ac:dyDescent="0.3">
      <c r="A284" s="1" t="s">
        <v>380</v>
      </c>
      <c r="B284" s="1" t="s">
        <v>401</v>
      </c>
      <c r="C284" s="1" t="s">
        <v>384</v>
      </c>
      <c r="D284" s="2" t="str">
        <f>HYPERLINK("https://inventaire.cncp.gouv.fr/fiches/3647/","3647")</f>
        <v>3647</v>
      </c>
      <c r="E284" s="2" t="str">
        <f>HYPERLINK("http://www.intercariforef.org/formations/certification-102695.html","102695")</f>
        <v>102695</v>
      </c>
      <c r="F284" s="3">
        <v>43301</v>
      </c>
      <c r="G284" s="3">
        <v>43301</v>
      </c>
    </row>
    <row r="285" spans="1:7" x14ac:dyDescent="0.3">
      <c r="A285" s="1" t="s">
        <v>380</v>
      </c>
      <c r="B285" s="1" t="s">
        <v>402</v>
      </c>
      <c r="C285" s="1" t="s">
        <v>403</v>
      </c>
      <c r="D285" s="2" t="str">
        <f>HYPERLINK("https://inventaire.cncp.gouv.fr/fiches/3381/","3381")</f>
        <v>3381</v>
      </c>
      <c r="E285" s="2" t="str">
        <f>HYPERLINK("http://www.intercariforef.org/formations/certification-100159.html","100159")</f>
        <v>100159</v>
      </c>
      <c r="F285" s="3">
        <v>43154</v>
      </c>
      <c r="G285" s="3">
        <v>43298</v>
      </c>
    </row>
    <row r="286" spans="1:7" x14ac:dyDescent="0.3">
      <c r="A286" s="1" t="s">
        <v>380</v>
      </c>
      <c r="B286" s="1" t="s">
        <v>404</v>
      </c>
      <c r="C286" s="1" t="s">
        <v>405</v>
      </c>
      <c r="D286" s="2" t="str">
        <f>HYPERLINK("https://inventaire.cncp.gouv.fr/fiches/3670/","3670")</f>
        <v>3670</v>
      </c>
      <c r="E286" s="2" t="str">
        <f>HYPERLINK("http://www.intercariforef.org/formations/certification-102621.html","102621")</f>
        <v>102621</v>
      </c>
      <c r="F286" s="3">
        <v>43299</v>
      </c>
      <c r="G286" s="3">
        <v>43299</v>
      </c>
    </row>
    <row r="287" spans="1:7" x14ac:dyDescent="0.3">
      <c r="A287" s="1" t="s">
        <v>380</v>
      </c>
      <c r="B287" s="1" t="s">
        <v>406</v>
      </c>
      <c r="C287" s="1" t="s">
        <v>407</v>
      </c>
      <c r="D287" s="2" t="str">
        <f>HYPERLINK("https://inventaire.cncp.gouv.fr/fiches/2328/","2328")</f>
        <v>2328</v>
      </c>
      <c r="E287" s="2" t="str">
        <f>HYPERLINK("http://www.intercariforef.org/formations/certification-94783.html","94783")</f>
        <v>94783</v>
      </c>
      <c r="F287" s="3">
        <v>42835</v>
      </c>
      <c r="G287" s="3">
        <v>42835</v>
      </c>
    </row>
    <row r="288" spans="1:7" x14ac:dyDescent="0.3">
      <c r="A288" s="1" t="s">
        <v>380</v>
      </c>
      <c r="B288" s="1" t="s">
        <v>408</v>
      </c>
      <c r="C288" s="1" t="s">
        <v>409</v>
      </c>
      <c r="D288" s="2" t="str">
        <f>HYPERLINK("https://inventaire.cncp.gouv.fr/fiches/3556/","3556")</f>
        <v>3556</v>
      </c>
      <c r="E288" s="2" t="str">
        <f>HYPERLINK("http://www.intercariforef.org/formations/certification-100679.html","100679")</f>
        <v>100679</v>
      </c>
      <c r="F288" s="3">
        <v>43195</v>
      </c>
      <c r="G288" s="3">
        <v>43195</v>
      </c>
    </row>
    <row r="289" spans="1:7" x14ac:dyDescent="0.3">
      <c r="A289" s="1" t="s">
        <v>380</v>
      </c>
      <c r="B289" s="1" t="s">
        <v>410</v>
      </c>
      <c r="C289" s="1" t="s">
        <v>411</v>
      </c>
      <c r="D289" s="2" t="str">
        <f>HYPERLINK("https://inventaire.cncp.gouv.fr/fiches/1556/","1556")</f>
        <v>1556</v>
      </c>
      <c r="E289" s="2" t="str">
        <f>HYPERLINK("http://www.intercariforef.org/formations/certification-86354.html","86354")</f>
        <v>86354</v>
      </c>
      <c r="F289" s="3">
        <v>42340</v>
      </c>
      <c r="G289" s="3">
        <v>42340</v>
      </c>
    </row>
    <row r="290" spans="1:7" x14ac:dyDescent="0.3">
      <c r="A290" s="1" t="s">
        <v>380</v>
      </c>
      <c r="B290" s="1" t="s">
        <v>412</v>
      </c>
      <c r="C290" s="1" t="s">
        <v>413</v>
      </c>
      <c r="D290" s="2" t="str">
        <f>HYPERLINK("https://inventaire.cncp.gouv.fr/fiches/2980/","2980")</f>
        <v>2980</v>
      </c>
      <c r="E290" s="2" t="str">
        <f>HYPERLINK("http://www.intercariforef.org/formations/certification-100199.html","100199")</f>
        <v>100199</v>
      </c>
      <c r="F290" s="3">
        <v>43154</v>
      </c>
      <c r="G290" s="3">
        <v>43154</v>
      </c>
    </row>
    <row r="291" spans="1:7" x14ac:dyDescent="0.3">
      <c r="A291" s="1" t="s">
        <v>380</v>
      </c>
      <c r="B291" s="1" t="s">
        <v>414</v>
      </c>
      <c r="C291" s="1" t="s">
        <v>415</v>
      </c>
      <c r="D291" s="2" t="str">
        <f>HYPERLINK("https://inventaire.cncp.gouv.fr/fiches/3951/","3951")</f>
        <v>3951</v>
      </c>
      <c r="E291" s="2" t="str">
        <f>HYPERLINK("http://www.intercariforef.org/formations/certification-104111.html","104111")</f>
        <v>104111</v>
      </c>
      <c r="F291" s="3">
        <v>43398</v>
      </c>
      <c r="G291" s="3">
        <v>43398</v>
      </c>
    </row>
    <row r="292" spans="1:7" x14ac:dyDescent="0.3">
      <c r="A292" s="1" t="s">
        <v>380</v>
      </c>
      <c r="B292" s="1" t="s">
        <v>416</v>
      </c>
      <c r="C292" s="1" t="s">
        <v>382</v>
      </c>
      <c r="D292" s="2" t="str">
        <f>HYPERLINK("https://inventaire.cncp.gouv.fr/fiches/3229/","3229")</f>
        <v>3229</v>
      </c>
      <c r="E292" s="2" t="str">
        <f>HYPERLINK("http://www.intercariforef.org/formations/certification-100117.html","100117")</f>
        <v>100117</v>
      </c>
      <c r="F292" s="3">
        <v>43153</v>
      </c>
      <c r="G292" s="3">
        <v>43153</v>
      </c>
    </row>
    <row r="293" spans="1:7" x14ac:dyDescent="0.3">
      <c r="A293" s="1" t="s">
        <v>380</v>
      </c>
      <c r="B293" s="1" t="s">
        <v>417</v>
      </c>
      <c r="C293" s="1" t="s">
        <v>418</v>
      </c>
      <c r="D293" s="2" t="str">
        <f>HYPERLINK("https://inventaire.cncp.gouv.fr/fiches/3385/","3385")</f>
        <v>3385</v>
      </c>
      <c r="E293" s="2" t="str">
        <f>HYPERLINK("http://www.intercariforef.org/formations/certification-100025.html","100025")</f>
        <v>100025</v>
      </c>
      <c r="F293" s="3">
        <v>43151</v>
      </c>
      <c r="G293" s="3">
        <v>43151</v>
      </c>
    </row>
    <row r="294" spans="1:7" x14ac:dyDescent="0.3">
      <c r="A294" s="1" t="s">
        <v>380</v>
      </c>
      <c r="B294" s="1" t="s">
        <v>419</v>
      </c>
      <c r="C294" s="1" t="s">
        <v>403</v>
      </c>
      <c r="D294" s="2" t="str">
        <f>HYPERLINK("https://inventaire.cncp.gouv.fr/fiches/3343/","3343")</f>
        <v>3343</v>
      </c>
      <c r="E294" s="2" t="str">
        <f>HYPERLINK("http://www.intercariforef.org/formations/certification-102437.html","102437")</f>
        <v>102437</v>
      </c>
      <c r="F294" s="3">
        <v>43298</v>
      </c>
      <c r="G294" s="3">
        <v>43298</v>
      </c>
    </row>
    <row r="295" spans="1:7" x14ac:dyDescent="0.3">
      <c r="A295" s="1" t="s">
        <v>380</v>
      </c>
      <c r="B295" s="1" t="s">
        <v>420</v>
      </c>
      <c r="C295" s="1" t="s">
        <v>241</v>
      </c>
      <c r="D295" s="2" t="str">
        <f>HYPERLINK("https://inventaire.cncp.gouv.fr/fiches/2524/","2524")</f>
        <v>2524</v>
      </c>
      <c r="E295" s="2" t="str">
        <f>HYPERLINK("http://www.intercariforef.org/formations/certification-95299.html","95299")</f>
        <v>95299</v>
      </c>
      <c r="F295" s="3">
        <v>42858</v>
      </c>
      <c r="G295" s="3">
        <v>42858</v>
      </c>
    </row>
    <row r="296" spans="1:7" x14ac:dyDescent="0.3">
      <c r="A296" s="1" t="s">
        <v>380</v>
      </c>
      <c r="B296" s="1" t="s">
        <v>421</v>
      </c>
      <c r="C296" s="1" t="s">
        <v>422</v>
      </c>
      <c r="D296" s="2" t="str">
        <f>HYPERLINK("https://inventaire.cncp.gouv.fr/fiches/3422/","3422")</f>
        <v>3422</v>
      </c>
      <c r="E296" s="2" t="str">
        <f>HYPERLINK("http://www.intercariforef.org/formations/certification-100619.html","100619")</f>
        <v>100619</v>
      </c>
      <c r="F296" s="3">
        <v>43193</v>
      </c>
      <c r="G296" s="3">
        <v>43193</v>
      </c>
    </row>
    <row r="297" spans="1:7" x14ac:dyDescent="0.3">
      <c r="A297" s="1" t="s">
        <v>380</v>
      </c>
      <c r="B297" s="1" t="s">
        <v>423</v>
      </c>
      <c r="C297" s="1" t="s">
        <v>424</v>
      </c>
      <c r="D297" s="2" t="str">
        <f>HYPERLINK("https://inventaire.cncp.gouv.fr/fiches/2084/","2084")</f>
        <v>2084</v>
      </c>
      <c r="E297" s="2" t="str">
        <f>HYPERLINK("http://www.intercariforef.org/formations/certification-89195.html","89195")</f>
        <v>89195</v>
      </c>
      <c r="F297" s="3">
        <v>42521</v>
      </c>
      <c r="G297" s="3">
        <v>42521</v>
      </c>
    </row>
    <row r="298" spans="1:7" x14ac:dyDescent="0.3">
      <c r="A298" s="1" t="s">
        <v>380</v>
      </c>
      <c r="B298" s="1" t="s">
        <v>425</v>
      </c>
      <c r="C298" s="1" t="s">
        <v>426</v>
      </c>
      <c r="D298" s="2" t="str">
        <f>HYPERLINK("https://inventaire.cncp.gouv.fr/fiches/1608/","1608")</f>
        <v>1608</v>
      </c>
      <c r="E298" s="2" t="str">
        <f>HYPERLINK("http://www.intercariforef.org/formations/certification-89243.html","89243")</f>
        <v>89243</v>
      </c>
      <c r="F298" s="3">
        <v>42522</v>
      </c>
      <c r="G298" s="3">
        <v>42522</v>
      </c>
    </row>
    <row r="299" spans="1:7" x14ac:dyDescent="0.3">
      <c r="A299" s="1" t="s">
        <v>380</v>
      </c>
      <c r="B299" s="1" t="s">
        <v>427</v>
      </c>
      <c r="C299" s="1" t="s">
        <v>426</v>
      </c>
      <c r="D299" s="2" t="str">
        <f>HYPERLINK("https://inventaire.cncp.gouv.fr/fiches/1603/","1603")</f>
        <v>1603</v>
      </c>
      <c r="E299" s="2" t="str">
        <f>HYPERLINK("http://www.intercariforef.org/formations/certification-89241.html","89241")</f>
        <v>89241</v>
      </c>
      <c r="F299" s="3">
        <v>42522</v>
      </c>
      <c r="G299" s="3">
        <v>42522</v>
      </c>
    </row>
    <row r="300" spans="1:7" x14ac:dyDescent="0.3">
      <c r="A300" s="1" t="s">
        <v>380</v>
      </c>
      <c r="B300" s="1" t="s">
        <v>428</v>
      </c>
      <c r="C300" s="1" t="s">
        <v>429</v>
      </c>
      <c r="D300" s="2" t="str">
        <f>HYPERLINK("https://inventaire.cncp.gouv.fr/fiches/2380/","2380")</f>
        <v>2380</v>
      </c>
      <c r="E300" s="2" t="str">
        <f>HYPERLINK("http://www.intercariforef.org/formations/certification-94859.html","94859")</f>
        <v>94859</v>
      </c>
      <c r="F300" s="3">
        <v>42836</v>
      </c>
      <c r="G300" s="3">
        <v>43046</v>
      </c>
    </row>
    <row r="301" spans="1:7" ht="26.2" x14ac:dyDescent="0.3">
      <c r="A301" s="1" t="s">
        <v>380</v>
      </c>
      <c r="B301" s="1" t="s">
        <v>430</v>
      </c>
      <c r="C301" s="1" t="s">
        <v>431</v>
      </c>
      <c r="D301" s="2" t="str">
        <f>HYPERLINK("https://inventaire.cncp.gouv.fr/fiches/2643/","2643")</f>
        <v>2643</v>
      </c>
      <c r="E301" s="2" t="str">
        <f>HYPERLINK("http://www.intercariforef.org/formations/certification-94857.html","94857")</f>
        <v>94857</v>
      </c>
      <c r="F301" s="3">
        <v>42836</v>
      </c>
      <c r="G301" s="3">
        <v>42836</v>
      </c>
    </row>
    <row r="302" spans="1:7" x14ac:dyDescent="0.3">
      <c r="A302" s="1" t="s">
        <v>380</v>
      </c>
      <c r="B302" s="1" t="s">
        <v>432</v>
      </c>
      <c r="C302" s="1" t="s">
        <v>433</v>
      </c>
      <c r="D302" s="2" t="str">
        <f>HYPERLINK("https://inventaire.cncp.gouv.fr/fiches/3684/","3684")</f>
        <v>3684</v>
      </c>
      <c r="E302" s="2" t="str">
        <f>HYPERLINK("http://www.intercariforef.org/formations/certification-102473.html","102473")</f>
        <v>102473</v>
      </c>
      <c r="F302" s="3">
        <v>43298</v>
      </c>
      <c r="G302" s="3">
        <v>43298</v>
      </c>
    </row>
    <row r="303" spans="1:7" x14ac:dyDescent="0.3">
      <c r="A303" s="1" t="s">
        <v>380</v>
      </c>
      <c r="B303" s="1" t="s">
        <v>434</v>
      </c>
      <c r="C303" s="1" t="s">
        <v>413</v>
      </c>
      <c r="D303" s="2" t="str">
        <f>HYPERLINK("https://inventaire.cncp.gouv.fr/fiches/3002/","3002")</f>
        <v>3002</v>
      </c>
      <c r="E303" s="2" t="str">
        <f>HYPERLINK("http://www.intercariforef.org/formations/certification-100197.html","100197")</f>
        <v>100197</v>
      </c>
      <c r="F303" s="3">
        <v>43154</v>
      </c>
      <c r="G303" s="3">
        <v>43154</v>
      </c>
    </row>
    <row r="304" spans="1:7" x14ac:dyDescent="0.3">
      <c r="A304" s="1" t="s">
        <v>380</v>
      </c>
      <c r="B304" s="1" t="s">
        <v>435</v>
      </c>
      <c r="C304" s="1" t="s">
        <v>436</v>
      </c>
      <c r="D304" s="2" t="str">
        <f>HYPERLINK("https://inventaire.cncp.gouv.fr/fiches/2909/","2909")</f>
        <v>2909</v>
      </c>
      <c r="E304" s="2" t="str">
        <f>HYPERLINK("http://www.intercariforef.org/formations/certification-96551.html","96551")</f>
        <v>96551</v>
      </c>
      <c r="F304" s="3">
        <v>42928</v>
      </c>
      <c r="G304" s="3">
        <v>42928</v>
      </c>
    </row>
    <row r="305" spans="1:7" x14ac:dyDescent="0.3">
      <c r="A305" s="1" t="s">
        <v>437</v>
      </c>
      <c r="B305" s="1" t="s">
        <v>438</v>
      </c>
      <c r="C305" s="1" t="s">
        <v>439</v>
      </c>
      <c r="D305" s="2" t="str">
        <f>HYPERLINK("https://inventaire.cncp.gouv.fr/fiches/4162/","4162")</f>
        <v>4162</v>
      </c>
      <c r="E305" s="2" t="str">
        <f>HYPERLINK("http://www.intercariforef.org/formations/certification-104079.html","104079")</f>
        <v>104079</v>
      </c>
      <c r="F305" s="3">
        <v>43397</v>
      </c>
      <c r="G305" s="3">
        <v>43397</v>
      </c>
    </row>
    <row r="306" spans="1:7" x14ac:dyDescent="0.3">
      <c r="A306" s="1" t="s">
        <v>437</v>
      </c>
      <c r="B306" s="1" t="s">
        <v>440</v>
      </c>
      <c r="C306" s="1" t="s">
        <v>441</v>
      </c>
      <c r="D306" s="2" t="str">
        <f>HYPERLINK("https://inventaire.cncp.gouv.fr/fiches/3713/","3713")</f>
        <v>3713</v>
      </c>
      <c r="E306" s="2" t="str">
        <f>HYPERLINK("http://www.intercariforef.org/formations/certification-104161.html","104161")</f>
        <v>104161</v>
      </c>
      <c r="F306" s="3">
        <v>43398</v>
      </c>
      <c r="G306" s="3">
        <v>43398</v>
      </c>
    </row>
    <row r="307" spans="1:7" x14ac:dyDescent="0.3">
      <c r="A307" s="1" t="s">
        <v>437</v>
      </c>
      <c r="B307" s="1" t="s">
        <v>442</v>
      </c>
      <c r="C307" s="1" t="s">
        <v>443</v>
      </c>
      <c r="D307" s="2" t="str">
        <f>HYPERLINK("https://inventaire.cncp.gouv.fr/fiches/2016/","2016")</f>
        <v>2016</v>
      </c>
      <c r="E307" s="2" t="str">
        <f>HYPERLINK("http://www.intercariforef.org/formations/certification-90039.html","90039")</f>
        <v>90039</v>
      </c>
      <c r="F307" s="3">
        <v>42558</v>
      </c>
      <c r="G307" s="3">
        <v>42558</v>
      </c>
    </row>
    <row r="308" spans="1:7" x14ac:dyDescent="0.3">
      <c r="A308" s="1" t="s">
        <v>437</v>
      </c>
      <c r="B308" s="1" t="s">
        <v>442</v>
      </c>
      <c r="C308" s="1" t="s">
        <v>418</v>
      </c>
      <c r="D308" s="2" t="str">
        <f>HYPERLINK("https://inventaire.cncp.gouv.fr/fiches/1797/","1797")</f>
        <v>1797</v>
      </c>
      <c r="E308" s="2" t="str">
        <f>HYPERLINK("http://www.intercariforef.org/formations/certification-90025.html","90025")</f>
        <v>90025</v>
      </c>
      <c r="F308" s="3">
        <v>42558</v>
      </c>
      <c r="G308" s="3">
        <v>42558</v>
      </c>
    </row>
    <row r="309" spans="1:7" x14ac:dyDescent="0.3">
      <c r="A309" s="1" t="s">
        <v>437</v>
      </c>
      <c r="B309" s="1" t="s">
        <v>444</v>
      </c>
      <c r="C309" s="1" t="s">
        <v>445</v>
      </c>
      <c r="D309" s="2" t="str">
        <f>HYPERLINK("https://inventaire.cncp.gouv.fr/fiches/27/","27")</f>
        <v>27</v>
      </c>
      <c r="E309" s="2" t="str">
        <f>HYPERLINK("http://www.intercariforef.org/formations/certification-84714.html","84714")</f>
        <v>84714</v>
      </c>
      <c r="F309" s="3">
        <v>42156</v>
      </c>
      <c r="G309" s="3">
        <v>42156</v>
      </c>
    </row>
    <row r="310" spans="1:7" x14ac:dyDescent="0.3">
      <c r="A310" s="1" t="s">
        <v>437</v>
      </c>
      <c r="B310" s="1" t="s">
        <v>446</v>
      </c>
      <c r="C310" s="1" t="s">
        <v>447</v>
      </c>
      <c r="D310" s="2" t="str">
        <f>HYPERLINK("https://inventaire.cncp.gouv.fr/fiches/3590/","3590")</f>
        <v>3590</v>
      </c>
      <c r="E310" s="2" t="str">
        <f>HYPERLINK("http://www.intercariforef.org/formations/certification-101159.html","101159")</f>
        <v>101159</v>
      </c>
      <c r="F310" s="3">
        <v>43250</v>
      </c>
      <c r="G310" s="3">
        <v>43250</v>
      </c>
    </row>
    <row r="311" spans="1:7" x14ac:dyDescent="0.3">
      <c r="A311" s="1" t="s">
        <v>437</v>
      </c>
      <c r="B311" s="1" t="s">
        <v>448</v>
      </c>
      <c r="C311" s="1" t="s">
        <v>447</v>
      </c>
      <c r="D311" s="2" t="str">
        <f>HYPERLINK("https://inventaire.cncp.gouv.fr/fiches/3591/","3591")</f>
        <v>3591</v>
      </c>
      <c r="E311" s="2" t="str">
        <f>HYPERLINK("http://www.intercariforef.org/formations/certification-101157.html","101157")</f>
        <v>101157</v>
      </c>
      <c r="F311" s="3">
        <v>43250</v>
      </c>
      <c r="G311" s="3">
        <v>43250</v>
      </c>
    </row>
    <row r="312" spans="1:7" x14ac:dyDescent="0.3">
      <c r="A312" s="1" t="s">
        <v>437</v>
      </c>
      <c r="B312" s="1" t="s">
        <v>449</v>
      </c>
      <c r="C312" s="1" t="s">
        <v>450</v>
      </c>
      <c r="D312" s="2" t="str">
        <f>HYPERLINK("https://inventaire.cncp.gouv.fr/fiches/3518/","3518")</f>
        <v>3518</v>
      </c>
      <c r="E312" s="2" t="str">
        <f>HYPERLINK("http://www.intercariforef.org/formations/certification-102633.html","102633")</f>
        <v>102633</v>
      </c>
      <c r="F312" s="3">
        <v>43299</v>
      </c>
      <c r="G312" s="3">
        <v>43299</v>
      </c>
    </row>
    <row r="313" spans="1:7" x14ac:dyDescent="0.3">
      <c r="A313" s="1" t="s">
        <v>437</v>
      </c>
      <c r="B313" s="1" t="s">
        <v>451</v>
      </c>
      <c r="C313" s="1" t="s">
        <v>452</v>
      </c>
      <c r="D313" s="2" t="str">
        <f>HYPERLINK("https://inventaire.cncp.gouv.fr/fiches/2915/","2915")</f>
        <v>2915</v>
      </c>
      <c r="E313" s="2" t="str">
        <f>HYPERLINK("http://www.intercariforef.org/formations/certification-96547.html","96547")</f>
        <v>96547</v>
      </c>
      <c r="F313" s="3">
        <v>42928</v>
      </c>
      <c r="G313" s="3">
        <v>42928</v>
      </c>
    </row>
    <row r="314" spans="1:7" x14ac:dyDescent="0.3">
      <c r="A314" s="1" t="s">
        <v>437</v>
      </c>
      <c r="B314" s="1" t="s">
        <v>453</v>
      </c>
      <c r="C314" s="1" t="s">
        <v>454</v>
      </c>
      <c r="D314" s="2" t="str">
        <f>HYPERLINK("https://inventaire.cncp.gouv.fr/fiches/2983/","2983")</f>
        <v>2983</v>
      </c>
      <c r="E314" s="2" t="str">
        <f>HYPERLINK("http://www.intercariforef.org/formations/certification-96505.html","96505")</f>
        <v>96505</v>
      </c>
      <c r="F314" s="3">
        <v>42928</v>
      </c>
      <c r="G314" s="3">
        <v>42928</v>
      </c>
    </row>
    <row r="315" spans="1:7" x14ac:dyDescent="0.3">
      <c r="A315" s="1" t="s">
        <v>437</v>
      </c>
      <c r="B315" s="1" t="s">
        <v>455</v>
      </c>
      <c r="C315" s="1" t="s">
        <v>456</v>
      </c>
      <c r="D315" s="2" t="str">
        <f>HYPERLINK("https://inventaire.cncp.gouv.fr/fiches/4133/","4133")</f>
        <v>4133</v>
      </c>
      <c r="E315" s="2" t="str">
        <f>HYPERLINK("http://www.intercariforef.org/formations/certification-104081.html","104081")</f>
        <v>104081</v>
      </c>
      <c r="F315" s="3">
        <v>43397</v>
      </c>
      <c r="G315" s="3">
        <v>43397</v>
      </c>
    </row>
    <row r="316" spans="1:7" x14ac:dyDescent="0.3">
      <c r="A316" s="1" t="s">
        <v>437</v>
      </c>
      <c r="B316" s="1" t="s">
        <v>457</v>
      </c>
      <c r="C316" s="1" t="s">
        <v>458</v>
      </c>
      <c r="D316" s="2" t="str">
        <f>HYPERLINK("https://inventaire.cncp.gouv.fr/fiches/3820/","3820")</f>
        <v>3820</v>
      </c>
      <c r="E316" s="2" t="str">
        <f>HYPERLINK("http://www.intercariforef.org/formations/certification-104151.html","104151")</f>
        <v>104151</v>
      </c>
      <c r="F316" s="3">
        <v>43398</v>
      </c>
      <c r="G316" s="3">
        <v>43398</v>
      </c>
    </row>
    <row r="317" spans="1:7" x14ac:dyDescent="0.3">
      <c r="A317" s="1" t="s">
        <v>437</v>
      </c>
      <c r="B317" s="1" t="s">
        <v>459</v>
      </c>
      <c r="C317" s="1" t="s">
        <v>460</v>
      </c>
      <c r="D317" s="2" t="str">
        <f>HYPERLINK("https://inventaire.cncp.gouv.fr/fiches/3621/","3621")</f>
        <v>3621</v>
      </c>
      <c r="E317" s="2" t="str">
        <f>HYPERLINK("http://www.intercariforef.org/formations/certification-101469.html","101469")</f>
        <v>101469</v>
      </c>
      <c r="F317" s="3">
        <v>43265</v>
      </c>
      <c r="G317" s="3">
        <v>43265</v>
      </c>
    </row>
    <row r="318" spans="1:7" x14ac:dyDescent="0.3">
      <c r="A318" s="1" t="s">
        <v>437</v>
      </c>
      <c r="B318" s="1" t="s">
        <v>461</v>
      </c>
      <c r="C318" s="1" t="s">
        <v>462</v>
      </c>
      <c r="D318" s="2" t="str">
        <f>HYPERLINK("https://inventaire.cncp.gouv.fr/fiches/1607/","1607")</f>
        <v>1607</v>
      </c>
      <c r="E318" s="2" t="str">
        <f>HYPERLINK("http://www.intercariforef.org/formations/certification-88455.html","88455")</f>
        <v>88455</v>
      </c>
      <c r="F318" s="3">
        <v>42464</v>
      </c>
      <c r="G318" s="3">
        <v>42464</v>
      </c>
    </row>
    <row r="319" spans="1:7" x14ac:dyDescent="0.3">
      <c r="A319" s="1" t="s">
        <v>437</v>
      </c>
      <c r="B319" s="1" t="s">
        <v>463</v>
      </c>
      <c r="C319" s="1" t="s">
        <v>464</v>
      </c>
      <c r="D319" s="2" t="str">
        <f>HYPERLINK("https://inventaire.cncp.gouv.fr/fiches/1953/","1953")</f>
        <v>1953</v>
      </c>
      <c r="E319" s="2" t="str">
        <f>HYPERLINK("http://www.intercariforef.org/formations/certification-90161.html","90161")</f>
        <v>90161</v>
      </c>
      <c r="F319" s="3">
        <v>42562</v>
      </c>
      <c r="G319" s="3">
        <v>42562</v>
      </c>
    </row>
    <row r="320" spans="1:7" x14ac:dyDescent="0.3">
      <c r="A320" s="1" t="s">
        <v>437</v>
      </c>
      <c r="B320" s="1" t="s">
        <v>465</v>
      </c>
      <c r="C320" s="1" t="s">
        <v>466</v>
      </c>
      <c r="D320" s="2" t="str">
        <f>HYPERLINK("https://inventaire.cncp.gouv.fr/fiches/585/","585")</f>
        <v>585</v>
      </c>
      <c r="E320" s="2" t="str">
        <f>HYPERLINK("http://www.intercariforef.org/formations/certification-68846.html","68846")</f>
        <v>68846</v>
      </c>
      <c r="F320" s="3">
        <v>40309</v>
      </c>
      <c r="G320" s="3">
        <v>42830</v>
      </c>
    </row>
    <row r="321" spans="1:7" x14ac:dyDescent="0.3">
      <c r="A321" s="1" t="s">
        <v>437</v>
      </c>
      <c r="B321" s="1" t="s">
        <v>467</v>
      </c>
      <c r="C321" s="1" t="s">
        <v>468</v>
      </c>
      <c r="D321" s="2" t="str">
        <f>HYPERLINK("https://inventaire.cncp.gouv.fr/fiches/3557/","3557")</f>
        <v>3557</v>
      </c>
      <c r="E321" s="2" t="str">
        <f>HYPERLINK("http://www.intercariforef.org/formations/certification-100673.html","100673")</f>
        <v>100673</v>
      </c>
      <c r="F321" s="3">
        <v>43195</v>
      </c>
      <c r="G321" s="3">
        <v>43195</v>
      </c>
    </row>
    <row r="322" spans="1:7" x14ac:dyDescent="0.3">
      <c r="A322" s="1" t="s">
        <v>437</v>
      </c>
      <c r="B322" s="1" t="s">
        <v>469</v>
      </c>
      <c r="C322" s="1" t="s">
        <v>470</v>
      </c>
      <c r="D322" s="2" t="str">
        <f>HYPERLINK("https://inventaire.cncp.gouv.fr/fiches/3559/","3559")</f>
        <v>3559</v>
      </c>
      <c r="E322" s="2" t="str">
        <f>HYPERLINK("http://www.intercariforef.org/formations/certification-100533.html","100533")</f>
        <v>100533</v>
      </c>
      <c r="F322" s="3">
        <v>43187</v>
      </c>
      <c r="G322" s="3">
        <v>43187</v>
      </c>
    </row>
    <row r="323" spans="1:7" x14ac:dyDescent="0.3">
      <c r="A323" s="1" t="s">
        <v>437</v>
      </c>
      <c r="B323" s="1" t="s">
        <v>471</v>
      </c>
      <c r="C323" s="1" t="s">
        <v>472</v>
      </c>
      <c r="D323" s="2" t="str">
        <f>HYPERLINK("https://inventaire.cncp.gouv.fr/fiches/2352/","2352")</f>
        <v>2352</v>
      </c>
      <c r="E323" s="2" t="str">
        <f>HYPERLINK("http://www.intercariforef.org/formations/certification-96697.html","96697")</f>
        <v>96697</v>
      </c>
      <c r="F323" s="3">
        <v>42933</v>
      </c>
      <c r="G323" s="3">
        <v>42933</v>
      </c>
    </row>
    <row r="324" spans="1:7" x14ac:dyDescent="0.3">
      <c r="A324" s="1" t="s">
        <v>437</v>
      </c>
      <c r="B324" s="1" t="s">
        <v>473</v>
      </c>
      <c r="C324" s="1" t="s">
        <v>441</v>
      </c>
      <c r="D324" s="2" t="str">
        <f>HYPERLINK("https://inventaire.cncp.gouv.fr/fiches/3876/","3876")</f>
        <v>3876</v>
      </c>
      <c r="E324" s="2" t="str">
        <f>HYPERLINK("http://www.intercariforef.org/formations/certification-104131.html","104131")</f>
        <v>104131</v>
      </c>
      <c r="F324" s="3">
        <v>43398</v>
      </c>
      <c r="G324" s="3">
        <v>43398</v>
      </c>
    </row>
    <row r="325" spans="1:7" x14ac:dyDescent="0.3">
      <c r="A325" s="1" t="s">
        <v>437</v>
      </c>
      <c r="B325" s="1" t="s">
        <v>474</v>
      </c>
      <c r="C325" s="1" t="s">
        <v>475</v>
      </c>
      <c r="D325" s="2" t="str">
        <f>HYPERLINK("https://inventaire.cncp.gouv.fr/fiches/4027/","4027")</f>
        <v>4027</v>
      </c>
      <c r="E325" s="2" t="str">
        <f>HYPERLINK("http://www.intercariforef.org/formations/certification-104093.html","104093")</f>
        <v>104093</v>
      </c>
      <c r="F325" s="3">
        <v>43397</v>
      </c>
      <c r="G325" s="3">
        <v>43397</v>
      </c>
    </row>
    <row r="326" spans="1:7" x14ac:dyDescent="0.3">
      <c r="A326" s="1" t="s">
        <v>437</v>
      </c>
      <c r="B326" s="1" t="s">
        <v>476</v>
      </c>
      <c r="C326" s="1" t="s">
        <v>477</v>
      </c>
      <c r="D326" s="2" t="str">
        <f>HYPERLINK("https://inventaire.cncp.gouv.fr/fiches/3331/","3331")</f>
        <v>3331</v>
      </c>
      <c r="E326" s="2" t="str">
        <f>HYPERLINK("http://www.intercariforef.org/formations/certification-100967.html","100967")</f>
        <v>100967</v>
      </c>
      <c r="F326" s="3">
        <v>43236</v>
      </c>
      <c r="G326" s="3">
        <v>43236</v>
      </c>
    </row>
    <row r="327" spans="1:7" x14ac:dyDescent="0.3">
      <c r="A327" s="1" t="s">
        <v>437</v>
      </c>
      <c r="B327" s="1" t="s">
        <v>478</v>
      </c>
      <c r="C327" s="1" t="s">
        <v>479</v>
      </c>
      <c r="D327" s="2" t="str">
        <f>HYPERLINK("https://inventaire.cncp.gouv.fr/fiches/3482/","3482")</f>
        <v>3482</v>
      </c>
      <c r="E327" s="2" t="str">
        <f>HYPERLINK("http://www.intercariforef.org/formations/certification-100683.html","100683")</f>
        <v>100683</v>
      </c>
      <c r="F327" s="3">
        <v>43195</v>
      </c>
      <c r="G327" s="3">
        <v>43195</v>
      </c>
    </row>
    <row r="328" spans="1:7" x14ac:dyDescent="0.3">
      <c r="A328" s="1" t="s">
        <v>437</v>
      </c>
      <c r="B328" s="1" t="s">
        <v>480</v>
      </c>
      <c r="C328" s="1" t="s">
        <v>413</v>
      </c>
      <c r="D328" s="2" t="str">
        <f>HYPERLINK("https://inventaire.cncp.gouv.fr/fiches/3561/","3561")</f>
        <v>3561</v>
      </c>
      <c r="E328" s="2" t="str">
        <f>HYPERLINK("http://www.intercariforef.org/formations/certification-101243.html","101243")</f>
        <v>101243</v>
      </c>
      <c r="F328" s="3">
        <v>43255</v>
      </c>
      <c r="G328" s="3">
        <v>43255</v>
      </c>
    </row>
    <row r="329" spans="1:7" x14ac:dyDescent="0.3">
      <c r="A329" s="1" t="s">
        <v>437</v>
      </c>
      <c r="B329" s="1" t="s">
        <v>481</v>
      </c>
      <c r="C329" s="1" t="s">
        <v>482</v>
      </c>
      <c r="D329" s="2" t="str">
        <f>HYPERLINK("https://inventaire.cncp.gouv.fr/fiches/3234/","3234")</f>
        <v>3234</v>
      </c>
      <c r="E329" s="2" t="str">
        <f>HYPERLINK("http://www.intercariforef.org/formations/certification-100115.html","100115")</f>
        <v>100115</v>
      </c>
      <c r="F329" s="3">
        <v>43153</v>
      </c>
      <c r="G329" s="3">
        <v>43153</v>
      </c>
    </row>
    <row r="330" spans="1:7" x14ac:dyDescent="0.3">
      <c r="A330" s="1" t="s">
        <v>437</v>
      </c>
      <c r="B330" s="1" t="s">
        <v>483</v>
      </c>
      <c r="C330" s="1" t="s">
        <v>484</v>
      </c>
      <c r="D330" s="2" t="str">
        <f>HYPERLINK("https://inventaire.cncp.gouv.fr/fiches/2348/","2348")</f>
        <v>2348</v>
      </c>
      <c r="E330" s="2" t="str">
        <f>HYPERLINK("http://www.intercariforef.org/formations/certification-95669.html","95669")</f>
        <v>95669</v>
      </c>
      <c r="F330" s="3">
        <v>42894</v>
      </c>
      <c r="G330" s="3">
        <v>42894</v>
      </c>
    </row>
    <row r="331" spans="1:7" x14ac:dyDescent="0.3">
      <c r="A331" s="1" t="s">
        <v>437</v>
      </c>
      <c r="B331" s="1" t="s">
        <v>485</v>
      </c>
      <c r="C331" s="1" t="s">
        <v>486</v>
      </c>
      <c r="D331" s="2" t="str">
        <f>HYPERLINK("https://inventaire.cncp.gouv.fr/fiches/3661/","3661")</f>
        <v>3661</v>
      </c>
      <c r="E331" s="2" t="str">
        <f>HYPERLINK("http://www.intercariforef.org/formations/certification-102475.html","102475")</f>
        <v>102475</v>
      </c>
      <c r="F331" s="3">
        <v>43298</v>
      </c>
      <c r="G331" s="3">
        <v>43298</v>
      </c>
    </row>
    <row r="332" spans="1:7" x14ac:dyDescent="0.3">
      <c r="A332" s="1" t="s">
        <v>437</v>
      </c>
      <c r="B332" s="1" t="s">
        <v>487</v>
      </c>
      <c r="C332" s="1" t="s">
        <v>488</v>
      </c>
      <c r="D332" s="2" t="str">
        <f>HYPERLINK("https://inventaire.cncp.gouv.fr/fiches/3523/","3523")</f>
        <v>3523</v>
      </c>
      <c r="E332" s="2" t="str">
        <f>HYPERLINK("http://www.intercariforef.org/formations/certification-100625.html","100625")</f>
        <v>100625</v>
      </c>
      <c r="F332" s="3">
        <v>43193</v>
      </c>
      <c r="G332" s="3">
        <v>43193</v>
      </c>
    </row>
    <row r="333" spans="1:7" x14ac:dyDescent="0.3">
      <c r="A333" s="1" t="s">
        <v>437</v>
      </c>
      <c r="B333" s="1" t="s">
        <v>489</v>
      </c>
      <c r="C333" s="1" t="s">
        <v>441</v>
      </c>
      <c r="D333" s="2" t="str">
        <f>HYPERLINK("https://inventaire.cncp.gouv.fr/fiches/3946/","3946")</f>
        <v>3946</v>
      </c>
      <c r="E333" s="2" t="str">
        <f>HYPERLINK("http://www.intercariforef.org/formations/certification-104115.html","104115")</f>
        <v>104115</v>
      </c>
      <c r="F333" s="3">
        <v>43398</v>
      </c>
      <c r="G333" s="3">
        <v>43398</v>
      </c>
    </row>
    <row r="334" spans="1:7" x14ac:dyDescent="0.3">
      <c r="A334" s="1" t="s">
        <v>437</v>
      </c>
      <c r="B334" s="1" t="s">
        <v>490</v>
      </c>
      <c r="C334" s="1" t="s">
        <v>491</v>
      </c>
      <c r="D334" s="2" t="str">
        <f>HYPERLINK("https://inventaire.cncp.gouv.fr/fiches/2427/","2427")</f>
        <v>2427</v>
      </c>
      <c r="E334" s="2" t="str">
        <f>HYPERLINK("http://www.intercariforef.org/formations/certification-94819.html","94819")</f>
        <v>94819</v>
      </c>
      <c r="F334" s="3">
        <v>42836</v>
      </c>
      <c r="G334" s="3">
        <v>42836</v>
      </c>
    </row>
    <row r="335" spans="1:7" x14ac:dyDescent="0.3">
      <c r="A335" s="1" t="s">
        <v>437</v>
      </c>
      <c r="B335" s="1" t="s">
        <v>492</v>
      </c>
      <c r="C335" s="1" t="s">
        <v>429</v>
      </c>
      <c r="D335" s="2" t="str">
        <f>HYPERLINK("https://inventaire.cncp.gouv.fr/fiches/2153/","2153")</f>
        <v>2153</v>
      </c>
      <c r="E335" s="2" t="str">
        <f>HYPERLINK("http://www.intercariforef.org/formations/certification-94081.html","94081")</f>
        <v>94081</v>
      </c>
      <c r="F335" s="3">
        <v>42758</v>
      </c>
      <c r="G335" s="3">
        <v>42758</v>
      </c>
    </row>
    <row r="336" spans="1:7" x14ac:dyDescent="0.3">
      <c r="A336" s="1" t="s">
        <v>437</v>
      </c>
      <c r="B336" s="1" t="s">
        <v>493</v>
      </c>
      <c r="C336" s="1" t="s">
        <v>429</v>
      </c>
      <c r="D336" s="2" t="str">
        <f>HYPERLINK("https://inventaire.cncp.gouv.fr/fiches/2159/","2159")</f>
        <v>2159</v>
      </c>
      <c r="E336" s="2" t="str">
        <f>HYPERLINK("http://www.intercariforef.org/formations/certification-94079.html","94079")</f>
        <v>94079</v>
      </c>
      <c r="F336" s="3">
        <v>42758</v>
      </c>
      <c r="G336" s="3">
        <v>42758</v>
      </c>
    </row>
    <row r="337" spans="1:7" x14ac:dyDescent="0.3">
      <c r="A337" s="1" t="s">
        <v>437</v>
      </c>
      <c r="B337" s="1" t="s">
        <v>494</v>
      </c>
      <c r="C337" s="1" t="s">
        <v>495</v>
      </c>
      <c r="D337" s="2" t="str">
        <f>HYPERLINK("https://inventaire.cncp.gouv.fr/fiches/2203/","2203")</f>
        <v>2203</v>
      </c>
      <c r="E337" s="2" t="str">
        <f>HYPERLINK("http://www.intercariforef.org/formations/certification-84482.html","84482")</f>
        <v>84482</v>
      </c>
      <c r="F337" s="3">
        <v>42110</v>
      </c>
      <c r="G337" s="3">
        <v>42979</v>
      </c>
    </row>
    <row r="338" spans="1:7" x14ac:dyDescent="0.3">
      <c r="A338" s="1" t="s">
        <v>437</v>
      </c>
      <c r="B338" s="1" t="s">
        <v>496</v>
      </c>
      <c r="C338" s="1" t="s">
        <v>495</v>
      </c>
      <c r="D338" s="2" t="str">
        <f>HYPERLINK("https://inventaire.cncp.gouv.fr/fiches/3936/","3936")</f>
        <v>3936</v>
      </c>
      <c r="E338" s="2" t="str">
        <f>HYPERLINK("http://www.intercariforef.org/formations/certification-103323.html","103323")</f>
        <v>103323</v>
      </c>
      <c r="F338" s="3">
        <v>43356</v>
      </c>
      <c r="G338" s="3">
        <v>43356</v>
      </c>
    </row>
    <row r="339" spans="1:7" x14ac:dyDescent="0.3">
      <c r="A339" s="1" t="s">
        <v>437</v>
      </c>
      <c r="B339" s="1" t="s">
        <v>497</v>
      </c>
      <c r="C339" s="1" t="s">
        <v>470</v>
      </c>
      <c r="D339" s="2" t="str">
        <f>HYPERLINK("https://inventaire.cncp.gouv.fr/fiches/3560/","3560")</f>
        <v>3560</v>
      </c>
      <c r="E339" s="2" t="str">
        <f>HYPERLINK("http://www.intercariforef.org/formations/certification-100531.html","100531")</f>
        <v>100531</v>
      </c>
      <c r="F339" s="3">
        <v>43187</v>
      </c>
      <c r="G339" s="3">
        <v>43187</v>
      </c>
    </row>
    <row r="340" spans="1:7" x14ac:dyDescent="0.3">
      <c r="A340" s="1" t="s">
        <v>437</v>
      </c>
      <c r="B340" s="1" t="s">
        <v>498</v>
      </c>
      <c r="C340" s="1" t="s">
        <v>499</v>
      </c>
      <c r="D340" s="2" t="str">
        <f>HYPERLINK("https://inventaire.cncp.gouv.fr/fiches/3952/","3952")</f>
        <v>3952</v>
      </c>
      <c r="E340" s="2" t="str">
        <f>HYPERLINK("http://www.intercariforef.org/formations/certification-104103.html","104103")</f>
        <v>104103</v>
      </c>
      <c r="F340" s="3">
        <v>43398</v>
      </c>
      <c r="G340" s="3">
        <v>43398</v>
      </c>
    </row>
    <row r="341" spans="1:7" x14ac:dyDescent="0.3">
      <c r="A341" s="1" t="s">
        <v>437</v>
      </c>
      <c r="B341" s="1" t="s">
        <v>500</v>
      </c>
      <c r="C341" s="1" t="s">
        <v>501</v>
      </c>
      <c r="D341" s="2" t="str">
        <f>HYPERLINK("https://inventaire.cncp.gouv.fr/fiches/3857/","3857")</f>
        <v>3857</v>
      </c>
      <c r="E341" s="2" t="str">
        <f>HYPERLINK("http://www.intercariforef.org/formations/certification-102073.html","102073")</f>
        <v>102073</v>
      </c>
      <c r="F341" s="3">
        <v>43293</v>
      </c>
      <c r="G341" s="3">
        <v>43293</v>
      </c>
    </row>
    <row r="342" spans="1:7" ht="26.2" x14ac:dyDescent="0.3">
      <c r="A342" s="1" t="s">
        <v>502</v>
      </c>
      <c r="B342" s="1" t="s">
        <v>503</v>
      </c>
      <c r="C342" s="1" t="s">
        <v>504</v>
      </c>
      <c r="D342" s="2" t="str">
        <f>HYPERLINK("https://inventaire.cncp.gouv.fr/fiches/1599/","1599")</f>
        <v>1599</v>
      </c>
      <c r="E342" s="2" t="str">
        <f>HYPERLINK("http://www.intercariforef.org/formations/certification-87643.html","87643")</f>
        <v>87643</v>
      </c>
      <c r="F342" s="3">
        <v>42415</v>
      </c>
      <c r="G342" s="3">
        <v>42718</v>
      </c>
    </row>
    <row r="343" spans="1:7" x14ac:dyDescent="0.3">
      <c r="A343" s="1" t="s">
        <v>505</v>
      </c>
      <c r="B343" s="1" t="s">
        <v>506</v>
      </c>
      <c r="C343" s="1" t="s">
        <v>331</v>
      </c>
      <c r="D343" s="2" t="str">
        <f>HYPERLINK("https://inventaire.cncp.gouv.fr/fiches/2900/","2900")</f>
        <v>2900</v>
      </c>
      <c r="E343" s="2" t="str">
        <f>HYPERLINK("http://www.intercariforef.org/formations/certification-98643.html","98643")</f>
        <v>98643</v>
      </c>
      <c r="F343" s="3">
        <v>43038</v>
      </c>
      <c r="G343" s="3">
        <v>43038</v>
      </c>
    </row>
    <row r="344" spans="1:7" x14ac:dyDescent="0.3">
      <c r="A344" s="1" t="s">
        <v>505</v>
      </c>
      <c r="B344" s="1" t="s">
        <v>507</v>
      </c>
      <c r="C344" s="1" t="s">
        <v>508</v>
      </c>
      <c r="D344" s="2" t="str">
        <f>HYPERLINK("https://inventaire.cncp.gouv.fr/fiches/1439/","1439")</f>
        <v>1439</v>
      </c>
      <c r="E344" s="2" t="str">
        <f>HYPERLINK("http://www.intercariforef.org/formations/certification-86391.html","86391")</f>
        <v>86391</v>
      </c>
      <c r="F344" s="3">
        <v>42340</v>
      </c>
      <c r="G344" s="3">
        <v>42340</v>
      </c>
    </row>
    <row r="345" spans="1:7" x14ac:dyDescent="0.3">
      <c r="A345" s="1" t="s">
        <v>505</v>
      </c>
      <c r="B345" s="1" t="s">
        <v>509</v>
      </c>
      <c r="C345" s="1" t="s">
        <v>510</v>
      </c>
      <c r="D345" s="2" t="str">
        <f>HYPERLINK("https://inventaire.cncp.gouv.fr/fiches/877/","877")</f>
        <v>877</v>
      </c>
      <c r="E345" s="2" t="str">
        <f>HYPERLINK("http://www.intercariforef.org/formations/certification-85047.html","85047")</f>
        <v>85047</v>
      </c>
      <c r="F345" s="3">
        <v>42185</v>
      </c>
      <c r="G345" s="3">
        <v>42185</v>
      </c>
    </row>
    <row r="346" spans="1:7" ht="26.2" x14ac:dyDescent="0.3">
      <c r="A346" s="1" t="s">
        <v>505</v>
      </c>
      <c r="B346" s="1" t="s">
        <v>511</v>
      </c>
      <c r="C346" s="1" t="s">
        <v>512</v>
      </c>
      <c r="D346" s="2" t="str">
        <f>HYPERLINK("https://inventaire.cncp.gouv.fr/fiches/1427/","1427")</f>
        <v>1427</v>
      </c>
      <c r="E346" s="2" t="str">
        <f>HYPERLINK("http://www.intercariforef.org/formations/certification-86412.html","86412")</f>
        <v>86412</v>
      </c>
      <c r="F346" s="3">
        <v>42340</v>
      </c>
      <c r="G346" s="3">
        <v>42340</v>
      </c>
    </row>
    <row r="347" spans="1:7" ht="39.299999999999997" x14ac:dyDescent="0.3">
      <c r="A347" s="1" t="s">
        <v>505</v>
      </c>
      <c r="B347" s="1" t="s">
        <v>513</v>
      </c>
      <c r="C347" s="1" t="s">
        <v>514</v>
      </c>
      <c r="D347" s="2" t="str">
        <f>HYPERLINK("https://inventaire.cncp.gouv.fr/fiches/1533/","1533")</f>
        <v>1533</v>
      </c>
      <c r="E347" s="2" t="str">
        <f>HYPERLINK("http://www.intercariforef.org/formations/certification-86408.html","86408")</f>
        <v>86408</v>
      </c>
      <c r="F347" s="3">
        <v>42340</v>
      </c>
      <c r="G347" s="3">
        <v>42340</v>
      </c>
    </row>
    <row r="348" spans="1:7" ht="26.2" x14ac:dyDescent="0.3">
      <c r="A348" s="1" t="s">
        <v>505</v>
      </c>
      <c r="B348" s="1" t="s">
        <v>515</v>
      </c>
      <c r="C348" s="1" t="s">
        <v>514</v>
      </c>
      <c r="D348" s="2" t="str">
        <f>HYPERLINK("https://inventaire.cncp.gouv.fr/fiches/1537/","1537")</f>
        <v>1537</v>
      </c>
      <c r="E348" s="2" t="str">
        <f>HYPERLINK("http://www.intercariforef.org/formations/certification-86409.html","86409")</f>
        <v>86409</v>
      </c>
      <c r="F348" s="3">
        <v>42340</v>
      </c>
      <c r="G348" s="3">
        <v>42340</v>
      </c>
    </row>
    <row r="349" spans="1:7" ht="39.299999999999997" x14ac:dyDescent="0.3">
      <c r="A349" s="1" t="s">
        <v>505</v>
      </c>
      <c r="B349" s="1" t="s">
        <v>516</v>
      </c>
      <c r="C349" s="1" t="s">
        <v>514</v>
      </c>
      <c r="D349" s="2" t="str">
        <f>HYPERLINK("https://inventaire.cncp.gouv.fr/fiches/1540/","1540")</f>
        <v>1540</v>
      </c>
      <c r="E349" s="2" t="str">
        <f>HYPERLINK("http://www.intercariforef.org/formations/certification-86410.html","86410")</f>
        <v>86410</v>
      </c>
      <c r="F349" s="3">
        <v>42340</v>
      </c>
      <c r="G349" s="3">
        <v>42340</v>
      </c>
    </row>
    <row r="350" spans="1:7" ht="26.2" x14ac:dyDescent="0.3">
      <c r="A350" s="1" t="s">
        <v>505</v>
      </c>
      <c r="B350" s="1" t="s">
        <v>517</v>
      </c>
      <c r="C350" s="1" t="s">
        <v>514</v>
      </c>
      <c r="D350" s="2" t="str">
        <f>HYPERLINK("https://inventaire.cncp.gouv.fr/fiches/1539/","1539")</f>
        <v>1539</v>
      </c>
      <c r="E350" s="2" t="str">
        <f>HYPERLINK("http://www.intercariforef.org/formations/certification-86411.html","86411")</f>
        <v>86411</v>
      </c>
      <c r="F350" s="3">
        <v>42340</v>
      </c>
      <c r="G350" s="3">
        <v>42340</v>
      </c>
    </row>
    <row r="351" spans="1:7" ht="26.2" x14ac:dyDescent="0.3">
      <c r="A351" s="1" t="s">
        <v>505</v>
      </c>
      <c r="B351" s="1" t="s">
        <v>518</v>
      </c>
      <c r="C351" s="1" t="s">
        <v>510</v>
      </c>
      <c r="D351" s="2" t="str">
        <f>HYPERLINK("https://inventaire.cncp.gouv.fr/fiches/543/","543")</f>
        <v>543</v>
      </c>
      <c r="E351" s="2" t="str">
        <f>HYPERLINK("http://www.intercariforef.org/formations/certification-85045.html","85045")</f>
        <v>85045</v>
      </c>
      <c r="F351" s="3">
        <v>42185</v>
      </c>
      <c r="G351" s="3">
        <v>42185</v>
      </c>
    </row>
    <row r="352" spans="1:7" ht="26.2" x14ac:dyDescent="0.3">
      <c r="A352" s="1" t="s">
        <v>505</v>
      </c>
      <c r="B352" s="1" t="s">
        <v>519</v>
      </c>
      <c r="C352" s="1" t="s">
        <v>510</v>
      </c>
      <c r="D352" s="2" t="str">
        <f>HYPERLINK("https://inventaire.cncp.gouv.fr/fiches/941/","941")</f>
        <v>941</v>
      </c>
      <c r="E352" s="2" t="str">
        <f>HYPERLINK("http://www.intercariforef.org/formations/certification-85061.html","85061")</f>
        <v>85061</v>
      </c>
      <c r="F352" s="3">
        <v>42185</v>
      </c>
      <c r="G352" s="3">
        <v>42185</v>
      </c>
    </row>
    <row r="353" spans="1:7" x14ac:dyDescent="0.3">
      <c r="A353" s="1" t="s">
        <v>505</v>
      </c>
      <c r="B353" s="1" t="s">
        <v>520</v>
      </c>
      <c r="C353" s="1" t="s">
        <v>510</v>
      </c>
      <c r="D353" s="2" t="str">
        <f>HYPERLINK("https://inventaire.cncp.gouv.fr/fiches/971/","971")</f>
        <v>971</v>
      </c>
      <c r="E353" s="2" t="str">
        <f>HYPERLINK("http://www.intercariforef.org/formations/certification-85079.html","85079")</f>
        <v>85079</v>
      </c>
      <c r="F353" s="3">
        <v>42185</v>
      </c>
      <c r="G353" s="3">
        <v>42185</v>
      </c>
    </row>
    <row r="354" spans="1:7" x14ac:dyDescent="0.3">
      <c r="A354" s="1" t="s">
        <v>505</v>
      </c>
      <c r="B354" s="1" t="s">
        <v>521</v>
      </c>
      <c r="C354" s="1" t="s">
        <v>510</v>
      </c>
      <c r="D354" s="2" t="str">
        <f>HYPERLINK("https://inventaire.cncp.gouv.fr/fiches/95/","95")</f>
        <v>95</v>
      </c>
      <c r="E354" s="2" t="str">
        <f>HYPERLINK("http://www.intercariforef.org/formations/certification-84526.html","84526")</f>
        <v>84526</v>
      </c>
      <c r="F354" s="3">
        <v>42114</v>
      </c>
      <c r="G354" s="3">
        <v>42114</v>
      </c>
    </row>
    <row r="355" spans="1:7" ht="26.2" x14ac:dyDescent="0.3">
      <c r="A355" s="1" t="s">
        <v>505</v>
      </c>
      <c r="B355" s="1" t="s">
        <v>522</v>
      </c>
      <c r="C355" s="1" t="s">
        <v>510</v>
      </c>
      <c r="D355" s="2" t="str">
        <f>HYPERLINK("https://inventaire.cncp.gouv.fr/fiches/961/","961")</f>
        <v>961</v>
      </c>
      <c r="E355" s="2" t="str">
        <f>HYPERLINK("http://www.intercariforef.org/formations/certification-85052.html","85052")</f>
        <v>85052</v>
      </c>
      <c r="F355" s="3">
        <v>42185</v>
      </c>
      <c r="G355" s="3">
        <v>42185</v>
      </c>
    </row>
    <row r="356" spans="1:7" x14ac:dyDescent="0.3">
      <c r="A356" s="1" t="s">
        <v>505</v>
      </c>
      <c r="B356" s="1" t="s">
        <v>523</v>
      </c>
      <c r="C356" s="1" t="s">
        <v>524</v>
      </c>
      <c r="D356" s="2" t="str">
        <f>HYPERLINK("https://inventaire.cncp.gouv.fr/fiches/2887/","2887")</f>
        <v>2887</v>
      </c>
      <c r="E356" s="2" t="str">
        <f>HYPERLINK("http://www.intercariforef.org/formations/certification-99247.html","99247")</f>
        <v>99247</v>
      </c>
      <c r="F356" s="3">
        <v>43080</v>
      </c>
      <c r="G356" s="3">
        <v>43080</v>
      </c>
    </row>
    <row r="357" spans="1:7" x14ac:dyDescent="0.3">
      <c r="A357" s="1" t="s">
        <v>505</v>
      </c>
      <c r="B357" s="1" t="s">
        <v>525</v>
      </c>
      <c r="C357" s="1" t="s">
        <v>524</v>
      </c>
      <c r="D357" s="2" t="str">
        <f>HYPERLINK("https://inventaire.cncp.gouv.fr/fiches/2888/","2888")</f>
        <v>2888</v>
      </c>
      <c r="E357" s="2" t="str">
        <f>HYPERLINK("http://www.intercariforef.org/formations/certification-99249.html","99249")</f>
        <v>99249</v>
      </c>
      <c r="F357" s="3">
        <v>43080</v>
      </c>
      <c r="G357" s="3">
        <v>43080</v>
      </c>
    </row>
    <row r="358" spans="1:7" x14ac:dyDescent="0.3">
      <c r="A358" s="1" t="s">
        <v>505</v>
      </c>
      <c r="B358" s="1" t="s">
        <v>526</v>
      </c>
      <c r="C358" s="1" t="s">
        <v>524</v>
      </c>
      <c r="D358" s="2" t="str">
        <f>HYPERLINK("https://inventaire.cncp.gouv.fr/fiches/2886/","2886")</f>
        <v>2886</v>
      </c>
      <c r="E358" s="2" t="str">
        <f>HYPERLINK("http://www.intercariforef.org/formations/certification-99241.html","99241")</f>
        <v>99241</v>
      </c>
      <c r="F358" s="3">
        <v>43080</v>
      </c>
      <c r="G358" s="3">
        <v>43080</v>
      </c>
    </row>
    <row r="359" spans="1:7" x14ac:dyDescent="0.3">
      <c r="A359" s="1" t="s">
        <v>505</v>
      </c>
      <c r="B359" s="1" t="s">
        <v>527</v>
      </c>
      <c r="C359" s="1" t="s">
        <v>323</v>
      </c>
      <c r="D359" s="2" t="str">
        <f>HYPERLINK("https://inventaire.cncp.gouv.fr/fiches/1626/","1626")</f>
        <v>1626</v>
      </c>
      <c r="E359" s="2" t="str">
        <f>HYPERLINK("http://www.intercariforef.org/formations/certification-65937.html","65937")</f>
        <v>65937</v>
      </c>
      <c r="F359" s="3">
        <v>40224</v>
      </c>
      <c r="G359" s="3">
        <v>42395</v>
      </c>
    </row>
    <row r="360" spans="1:7" x14ac:dyDescent="0.3">
      <c r="A360" s="1" t="s">
        <v>505</v>
      </c>
      <c r="B360" s="1" t="s">
        <v>528</v>
      </c>
      <c r="C360" s="1" t="s">
        <v>323</v>
      </c>
      <c r="D360" s="2" t="str">
        <f>HYPERLINK("https://inventaire.cncp.gouv.fr/fiches/1627/","1627")</f>
        <v>1627</v>
      </c>
      <c r="E360" s="2" t="str">
        <f>HYPERLINK("http://www.intercariforef.org/formations/certification-65940.html","65940")</f>
        <v>65940</v>
      </c>
      <c r="F360" s="3">
        <v>40224</v>
      </c>
      <c r="G360" s="3">
        <v>42395</v>
      </c>
    </row>
    <row r="361" spans="1:7" ht="26.2" x14ac:dyDescent="0.3">
      <c r="A361" s="1" t="s">
        <v>505</v>
      </c>
      <c r="B361" s="1" t="s">
        <v>529</v>
      </c>
      <c r="C361" s="1" t="s">
        <v>323</v>
      </c>
      <c r="D361" s="2" t="str">
        <f>HYPERLINK("https://inventaire.cncp.gouv.fr/fiches/1665/","1665")</f>
        <v>1665</v>
      </c>
      <c r="E361" s="2" t="str">
        <f>HYPERLINK("http://www.intercariforef.org/formations/certification-65954.html","65954")</f>
        <v>65954</v>
      </c>
      <c r="F361" s="3">
        <v>40224</v>
      </c>
      <c r="G361" s="3">
        <v>42396</v>
      </c>
    </row>
    <row r="362" spans="1:7" x14ac:dyDescent="0.3">
      <c r="A362" s="1" t="s">
        <v>505</v>
      </c>
      <c r="B362" s="1" t="s">
        <v>530</v>
      </c>
      <c r="C362" s="1" t="s">
        <v>323</v>
      </c>
      <c r="D362" s="2" t="str">
        <f>HYPERLINK("https://inventaire.cncp.gouv.fr/fiches/1664/","1664")</f>
        <v>1664</v>
      </c>
      <c r="E362" s="2" t="str">
        <f>HYPERLINK("http://www.intercariforef.org/formations/certification-65950.html","65950")</f>
        <v>65950</v>
      </c>
      <c r="F362" s="3">
        <v>40224</v>
      </c>
      <c r="G362" s="3">
        <v>42396</v>
      </c>
    </row>
    <row r="363" spans="1:7" x14ac:dyDescent="0.3">
      <c r="A363" s="1" t="s">
        <v>505</v>
      </c>
      <c r="B363" s="1" t="s">
        <v>531</v>
      </c>
      <c r="C363" s="1" t="s">
        <v>323</v>
      </c>
      <c r="D363" s="2" t="str">
        <f>HYPERLINK("https://inventaire.cncp.gouv.fr/fiches/1663/","1663")</f>
        <v>1663</v>
      </c>
      <c r="E363" s="2" t="str">
        <f>HYPERLINK("http://www.intercariforef.org/formations/certification-65942.html","65942")</f>
        <v>65942</v>
      </c>
      <c r="F363" s="3">
        <v>40224</v>
      </c>
      <c r="G363" s="3">
        <v>42395</v>
      </c>
    </row>
    <row r="364" spans="1:7" x14ac:dyDescent="0.3">
      <c r="A364" s="1" t="s">
        <v>505</v>
      </c>
      <c r="B364" s="1" t="s">
        <v>532</v>
      </c>
      <c r="C364" s="1" t="s">
        <v>323</v>
      </c>
      <c r="D364" s="2" t="str">
        <f>HYPERLINK("https://inventaire.cncp.gouv.fr/fiches/1629/","1629")</f>
        <v>1629</v>
      </c>
      <c r="E364" s="2" t="str">
        <f>HYPERLINK("http://www.intercariforef.org/formations/certification-65944.html","65944")</f>
        <v>65944</v>
      </c>
      <c r="F364" s="3">
        <v>40224</v>
      </c>
      <c r="G364" s="3">
        <v>42394</v>
      </c>
    </row>
    <row r="365" spans="1:7" ht="26.2" x14ac:dyDescent="0.3">
      <c r="A365" s="1" t="s">
        <v>505</v>
      </c>
      <c r="B365" s="1" t="s">
        <v>533</v>
      </c>
      <c r="C365" s="1" t="s">
        <v>323</v>
      </c>
      <c r="D365" s="2" t="str">
        <f>HYPERLINK("https://inventaire.cncp.gouv.fr/fiches/1669/","1669")</f>
        <v>1669</v>
      </c>
      <c r="E365" s="2" t="str">
        <f>HYPERLINK("http://www.intercariforef.org/formations/certification-65956.html","65956")</f>
        <v>65956</v>
      </c>
      <c r="F365" s="3">
        <v>40224</v>
      </c>
      <c r="G365" s="3">
        <v>42395</v>
      </c>
    </row>
    <row r="366" spans="1:7" x14ac:dyDescent="0.3">
      <c r="A366" s="1" t="s">
        <v>505</v>
      </c>
      <c r="B366" s="1" t="s">
        <v>534</v>
      </c>
      <c r="C366" s="1" t="s">
        <v>323</v>
      </c>
      <c r="D366" s="2" t="str">
        <f>HYPERLINK("https://inventaire.cncp.gouv.fr/fiches/1668/","1668")</f>
        <v>1668</v>
      </c>
      <c r="E366" s="2" t="str">
        <f>HYPERLINK("http://www.intercariforef.org/formations/certification-65952.html","65952")</f>
        <v>65952</v>
      </c>
      <c r="F366" s="3">
        <v>40224</v>
      </c>
      <c r="G366" s="3">
        <v>42395</v>
      </c>
    </row>
    <row r="367" spans="1:7" x14ac:dyDescent="0.3">
      <c r="A367" s="1" t="s">
        <v>505</v>
      </c>
      <c r="B367" s="1" t="s">
        <v>535</v>
      </c>
      <c r="C367" s="1" t="s">
        <v>323</v>
      </c>
      <c r="D367" s="4" t="s">
        <v>536</v>
      </c>
      <c r="E367" s="2" t="str">
        <f>HYPERLINK("http://www.intercariforef.org/formations/certification-82486.html","82486")</f>
        <v>82486</v>
      </c>
      <c r="F367" s="3">
        <v>41652</v>
      </c>
      <c r="G367" s="3">
        <v>42188</v>
      </c>
    </row>
    <row r="368" spans="1:7" x14ac:dyDescent="0.3">
      <c r="A368" s="1" t="s">
        <v>505</v>
      </c>
      <c r="B368" s="1" t="s">
        <v>537</v>
      </c>
      <c r="C368" s="1" t="s">
        <v>323</v>
      </c>
      <c r="D368" s="2" t="str">
        <f>HYPERLINK("https://inventaire.cncp.gouv.fr/fiches/1667/","1667")</f>
        <v>1667</v>
      </c>
      <c r="E368" s="2" t="str">
        <f>HYPERLINK("http://www.intercariforef.org/formations/certification-65946.html","65946")</f>
        <v>65946</v>
      </c>
      <c r="F368" s="3">
        <v>40224</v>
      </c>
      <c r="G368" s="3">
        <v>42394</v>
      </c>
    </row>
    <row r="369" spans="1:7" x14ac:dyDescent="0.3">
      <c r="A369" s="1" t="s">
        <v>505</v>
      </c>
      <c r="B369" s="1" t="s">
        <v>538</v>
      </c>
      <c r="C369" s="1" t="s">
        <v>323</v>
      </c>
      <c r="D369" s="2" t="str">
        <f>HYPERLINK("https://inventaire.cncp.gouv.fr/fiches/1630/","1630")</f>
        <v>1630</v>
      </c>
      <c r="E369" s="2" t="str">
        <f>HYPERLINK("http://www.intercariforef.org/formations/certification-65948.html","65948")</f>
        <v>65948</v>
      </c>
      <c r="F369" s="3">
        <v>40224</v>
      </c>
      <c r="G369" s="3">
        <v>42395</v>
      </c>
    </row>
    <row r="370" spans="1:7" x14ac:dyDescent="0.3">
      <c r="A370" s="1" t="s">
        <v>505</v>
      </c>
      <c r="B370" s="1" t="s">
        <v>539</v>
      </c>
      <c r="C370" s="1" t="s">
        <v>323</v>
      </c>
      <c r="D370" s="2" t="str">
        <f>HYPERLINK("https://inventaire.cncp.gouv.fr/fiches/1635/","1635")</f>
        <v>1635</v>
      </c>
      <c r="E370" s="2" t="str">
        <f>HYPERLINK("http://www.intercariforef.org/formations/certification-82503.html","82503")</f>
        <v>82503</v>
      </c>
      <c r="F370" s="3">
        <v>41654</v>
      </c>
      <c r="G370" s="3">
        <v>42747</v>
      </c>
    </row>
    <row r="371" spans="1:7" x14ac:dyDescent="0.3">
      <c r="A371" s="1" t="s">
        <v>505</v>
      </c>
      <c r="B371" s="1" t="s">
        <v>540</v>
      </c>
      <c r="C371" s="1" t="s">
        <v>323</v>
      </c>
      <c r="D371" s="2" t="str">
        <f>HYPERLINK("https://inventaire.cncp.gouv.fr/fiches/1635/","1635")</f>
        <v>1635</v>
      </c>
      <c r="E371" s="2" t="str">
        <f>HYPERLINK("http://www.intercariforef.org/formations/certification-82504.html","82504")</f>
        <v>82504</v>
      </c>
      <c r="F371" s="3">
        <v>41654</v>
      </c>
      <c r="G371" s="3">
        <v>42747</v>
      </c>
    </row>
    <row r="372" spans="1:7" x14ac:dyDescent="0.3">
      <c r="A372" s="1" t="s">
        <v>505</v>
      </c>
      <c r="B372" s="1" t="s">
        <v>541</v>
      </c>
      <c r="C372" s="1" t="s">
        <v>323</v>
      </c>
      <c r="D372" s="2" t="str">
        <f>HYPERLINK("https://inventaire.cncp.gouv.fr/fiches/1635/","1635")</f>
        <v>1635</v>
      </c>
      <c r="E372" s="2" t="str">
        <f>HYPERLINK("http://www.intercariforef.org/formations/certification-82498.html","82498")</f>
        <v>82498</v>
      </c>
      <c r="F372" s="3">
        <v>41654</v>
      </c>
      <c r="G372" s="3">
        <v>42747</v>
      </c>
    </row>
    <row r="373" spans="1:7" x14ac:dyDescent="0.3">
      <c r="A373" s="1" t="s">
        <v>505</v>
      </c>
      <c r="B373" s="1" t="s">
        <v>542</v>
      </c>
      <c r="C373" s="1" t="s">
        <v>323</v>
      </c>
      <c r="D373" s="2" t="str">
        <f>HYPERLINK("https://inventaire.cncp.gouv.fr/fiches/1635/","1635")</f>
        <v>1635</v>
      </c>
      <c r="E373" s="2" t="str">
        <f>HYPERLINK("http://www.intercariforef.org/formations/certification-82500.html","82500")</f>
        <v>82500</v>
      </c>
      <c r="F373" s="3">
        <v>41654</v>
      </c>
      <c r="G373" s="3">
        <v>42747</v>
      </c>
    </row>
    <row r="374" spans="1:7" x14ac:dyDescent="0.3">
      <c r="A374" s="1" t="s">
        <v>505</v>
      </c>
      <c r="B374" s="1" t="s">
        <v>543</v>
      </c>
      <c r="C374" s="1" t="s">
        <v>323</v>
      </c>
      <c r="D374" s="2" t="str">
        <f>HYPERLINK("https://inventaire.cncp.gouv.fr/fiches/1764/","1764")</f>
        <v>1764</v>
      </c>
      <c r="E374" s="2" t="str">
        <f>HYPERLINK("http://www.intercariforef.org/formations/certification-82510.html","82510")</f>
        <v>82510</v>
      </c>
      <c r="F374" s="3">
        <v>41654</v>
      </c>
      <c r="G374" s="3">
        <v>42394</v>
      </c>
    </row>
    <row r="375" spans="1:7" x14ac:dyDescent="0.3">
      <c r="A375" s="1" t="s">
        <v>505</v>
      </c>
      <c r="B375" s="1" t="s">
        <v>544</v>
      </c>
      <c r="C375" s="1" t="s">
        <v>323</v>
      </c>
      <c r="D375" s="2" t="str">
        <f>HYPERLINK("https://inventaire.cncp.gouv.fr/fiches/1632/","1632")</f>
        <v>1632</v>
      </c>
      <c r="E375" s="2" t="str">
        <f>HYPERLINK("http://www.intercariforef.org/formations/certification-82496.html","82496")</f>
        <v>82496</v>
      </c>
      <c r="F375" s="3">
        <v>41654</v>
      </c>
      <c r="G375" s="3">
        <v>42395</v>
      </c>
    </row>
    <row r="376" spans="1:7" x14ac:dyDescent="0.3">
      <c r="A376" s="1" t="s">
        <v>505</v>
      </c>
      <c r="B376" s="1" t="s">
        <v>545</v>
      </c>
      <c r="C376" s="1" t="s">
        <v>323</v>
      </c>
      <c r="D376" s="2" t="str">
        <f>HYPERLINK("https://inventaire.cncp.gouv.fr/fiches/1773/","1773")</f>
        <v>1773</v>
      </c>
      <c r="E376" s="2" t="str">
        <f>HYPERLINK("http://www.intercariforef.org/formations/certification-82485.html","82485")</f>
        <v>82485</v>
      </c>
      <c r="F376" s="3">
        <v>41652</v>
      </c>
      <c r="G376" s="3">
        <v>42395</v>
      </c>
    </row>
    <row r="377" spans="1:7" x14ac:dyDescent="0.3">
      <c r="A377" s="1" t="s">
        <v>505</v>
      </c>
      <c r="B377" s="1" t="s">
        <v>546</v>
      </c>
      <c r="C377" s="1" t="s">
        <v>323</v>
      </c>
      <c r="D377" s="2" t="str">
        <f>HYPERLINK("https://inventaire.cncp.gouv.fr/fiches/1633/","1633")</f>
        <v>1633</v>
      </c>
      <c r="E377" s="2" t="str">
        <f>HYPERLINK("http://www.intercariforef.org/formations/certification-65958.html","65958")</f>
        <v>65958</v>
      </c>
      <c r="F377" s="3">
        <v>40224</v>
      </c>
      <c r="G377" s="3">
        <v>42395</v>
      </c>
    </row>
    <row r="378" spans="1:7" x14ac:dyDescent="0.3">
      <c r="A378" s="1" t="s">
        <v>505</v>
      </c>
      <c r="B378" s="1" t="s">
        <v>547</v>
      </c>
      <c r="C378" s="1" t="s">
        <v>323</v>
      </c>
      <c r="D378" s="2" t="str">
        <f>HYPERLINK("https://inventaire.cncp.gouv.fr/fiches/1126/","1126")</f>
        <v>1126</v>
      </c>
      <c r="E378" s="2" t="str">
        <f>HYPERLINK("http://www.intercariforef.org/formations/certification-65936.html","65936")</f>
        <v>65936</v>
      </c>
      <c r="F378" s="3">
        <v>40224</v>
      </c>
      <c r="G378" s="3">
        <v>42395</v>
      </c>
    </row>
    <row r="379" spans="1:7" ht="26.2" x14ac:dyDescent="0.3">
      <c r="A379" s="1" t="s">
        <v>505</v>
      </c>
      <c r="B379" s="1" t="s">
        <v>548</v>
      </c>
      <c r="C379" s="1" t="s">
        <v>323</v>
      </c>
      <c r="D379" s="2" t="str">
        <f>HYPERLINK("https://inventaire.cncp.gouv.fr/fiches/1657/","1657")</f>
        <v>1657</v>
      </c>
      <c r="E379" s="2" t="str">
        <f>HYPERLINK("http://www.intercariforef.org/formations/certification-65939.html","65939")</f>
        <v>65939</v>
      </c>
      <c r="F379" s="3">
        <v>40224</v>
      </c>
      <c r="G379" s="3">
        <v>42394</v>
      </c>
    </row>
    <row r="380" spans="1:7" x14ac:dyDescent="0.3">
      <c r="A380" s="1" t="s">
        <v>505</v>
      </c>
      <c r="B380" s="1" t="s">
        <v>549</v>
      </c>
      <c r="C380" s="1" t="s">
        <v>323</v>
      </c>
      <c r="D380" s="2" t="str">
        <f>HYPERLINK("https://inventaire.cncp.gouv.fr/fiches/1624/","1624")</f>
        <v>1624</v>
      </c>
      <c r="E380" s="2" t="str">
        <f>HYPERLINK("http://www.intercariforef.org/formations/certification-65941.html","65941")</f>
        <v>65941</v>
      </c>
      <c r="F380" s="3">
        <v>40224</v>
      </c>
      <c r="G380" s="3">
        <v>42395</v>
      </c>
    </row>
    <row r="381" spans="1:7" ht="26.2" x14ac:dyDescent="0.3">
      <c r="A381" s="1" t="s">
        <v>505</v>
      </c>
      <c r="B381" s="1" t="s">
        <v>550</v>
      </c>
      <c r="C381" s="1" t="s">
        <v>323</v>
      </c>
      <c r="D381" s="4" t="s">
        <v>536</v>
      </c>
      <c r="E381" s="2" t="str">
        <f>HYPERLINK("http://www.intercariforef.org/formations/certification-65955.html","65955")</f>
        <v>65955</v>
      </c>
      <c r="F381" s="3">
        <v>40224</v>
      </c>
      <c r="G381" s="3">
        <v>42188</v>
      </c>
    </row>
    <row r="382" spans="1:7" x14ac:dyDescent="0.3">
      <c r="A382" s="1" t="s">
        <v>505</v>
      </c>
      <c r="B382" s="1" t="s">
        <v>551</v>
      </c>
      <c r="C382" s="1" t="s">
        <v>323</v>
      </c>
      <c r="D382" s="2" t="str">
        <f>HYPERLINK("https://inventaire.cncp.gouv.fr/fiches/1650/","1650")</f>
        <v>1650</v>
      </c>
      <c r="E382" s="2" t="str">
        <f>HYPERLINK("http://www.intercariforef.org/formations/certification-65951.html","65951")</f>
        <v>65951</v>
      </c>
      <c r="F382" s="3">
        <v>40224</v>
      </c>
      <c r="G382" s="3">
        <v>42395</v>
      </c>
    </row>
    <row r="383" spans="1:7" x14ac:dyDescent="0.3">
      <c r="A383" s="1" t="s">
        <v>505</v>
      </c>
      <c r="B383" s="1" t="s">
        <v>552</v>
      </c>
      <c r="C383" s="1" t="s">
        <v>323</v>
      </c>
      <c r="D383" s="2" t="str">
        <f>HYPERLINK("https://inventaire.cncp.gouv.fr/fiches/1647/","1647")</f>
        <v>1647</v>
      </c>
      <c r="E383" s="2" t="str">
        <f>HYPERLINK("http://www.intercariforef.org/formations/certification-65943.html","65943")</f>
        <v>65943</v>
      </c>
      <c r="F383" s="3">
        <v>40224</v>
      </c>
      <c r="G383" s="3">
        <v>42394</v>
      </c>
    </row>
    <row r="384" spans="1:7" x14ac:dyDescent="0.3">
      <c r="A384" s="1" t="s">
        <v>505</v>
      </c>
      <c r="B384" s="1" t="s">
        <v>553</v>
      </c>
      <c r="C384" s="1" t="s">
        <v>323</v>
      </c>
      <c r="D384" s="2" t="str">
        <f>HYPERLINK("https://inventaire.cncp.gouv.fr/fiches/1670/","1670")</f>
        <v>1670</v>
      </c>
      <c r="E384" s="2" t="str">
        <f>HYPERLINK("http://www.intercariforef.org/formations/certification-65945.html","65945")</f>
        <v>65945</v>
      </c>
      <c r="F384" s="3">
        <v>40224</v>
      </c>
      <c r="G384" s="3">
        <v>42395</v>
      </c>
    </row>
    <row r="385" spans="1:7" ht="26.2" x14ac:dyDescent="0.3">
      <c r="A385" s="1" t="s">
        <v>505</v>
      </c>
      <c r="B385" s="1" t="s">
        <v>554</v>
      </c>
      <c r="C385" s="1" t="s">
        <v>323</v>
      </c>
      <c r="D385" s="2" t="str">
        <f>HYPERLINK("https://inventaire.cncp.gouv.fr/fiches/1673/","1673")</f>
        <v>1673</v>
      </c>
      <c r="E385" s="2" t="str">
        <f>HYPERLINK("http://www.intercariforef.org/formations/certification-65957.html","65957")</f>
        <v>65957</v>
      </c>
      <c r="F385" s="3">
        <v>40224</v>
      </c>
      <c r="G385" s="3">
        <v>42395</v>
      </c>
    </row>
    <row r="386" spans="1:7" x14ac:dyDescent="0.3">
      <c r="A386" s="1" t="s">
        <v>505</v>
      </c>
      <c r="B386" s="1" t="s">
        <v>555</v>
      </c>
      <c r="C386" s="1" t="s">
        <v>323</v>
      </c>
      <c r="D386" s="2" t="str">
        <f>HYPERLINK("https://inventaire.cncp.gouv.fr/fiches/1672/","1672")</f>
        <v>1672</v>
      </c>
      <c r="E386" s="2" t="str">
        <f>HYPERLINK("http://www.intercariforef.org/formations/certification-65953.html","65953")</f>
        <v>65953</v>
      </c>
      <c r="F386" s="3">
        <v>40224</v>
      </c>
      <c r="G386" s="3">
        <v>42394</v>
      </c>
    </row>
    <row r="387" spans="1:7" x14ac:dyDescent="0.3">
      <c r="A387" s="1" t="s">
        <v>505</v>
      </c>
      <c r="B387" s="1" t="s">
        <v>556</v>
      </c>
      <c r="C387" s="1" t="s">
        <v>323</v>
      </c>
      <c r="D387" s="4" t="s">
        <v>536</v>
      </c>
      <c r="E387" s="2" t="str">
        <f>HYPERLINK("http://www.intercariforef.org/formations/certification-82487.html","82487")</f>
        <v>82487</v>
      </c>
      <c r="F387" s="3">
        <v>41652</v>
      </c>
      <c r="G387" s="3">
        <v>42188</v>
      </c>
    </row>
    <row r="388" spans="1:7" x14ac:dyDescent="0.3">
      <c r="A388" s="1" t="s">
        <v>505</v>
      </c>
      <c r="B388" s="1" t="s">
        <v>557</v>
      </c>
      <c r="C388" s="1" t="s">
        <v>323</v>
      </c>
      <c r="D388" s="2" t="str">
        <f>HYPERLINK("https://inventaire.cncp.gouv.fr/fiches/1671/","1671")</f>
        <v>1671</v>
      </c>
      <c r="E388" s="2" t="str">
        <f>HYPERLINK("http://www.intercariforef.org/formations/certification-65947.html","65947")</f>
        <v>65947</v>
      </c>
      <c r="F388" s="3">
        <v>40224</v>
      </c>
      <c r="G388" s="3">
        <v>42396</v>
      </c>
    </row>
    <row r="389" spans="1:7" x14ac:dyDescent="0.3">
      <c r="A389" s="1" t="s">
        <v>505</v>
      </c>
      <c r="B389" s="1" t="s">
        <v>558</v>
      </c>
      <c r="C389" s="1" t="s">
        <v>323</v>
      </c>
      <c r="D389" s="2" t="str">
        <f>HYPERLINK("https://inventaire.cncp.gouv.fr/fiches/1674/","1674")</f>
        <v>1674</v>
      </c>
      <c r="E389" s="2" t="str">
        <f>HYPERLINK("http://www.intercariforef.org/formations/certification-65949.html","65949")</f>
        <v>65949</v>
      </c>
      <c r="F389" s="3">
        <v>40224</v>
      </c>
      <c r="G389" s="3">
        <v>42395</v>
      </c>
    </row>
    <row r="390" spans="1:7" x14ac:dyDescent="0.3">
      <c r="A390" s="1" t="s">
        <v>505</v>
      </c>
      <c r="B390" s="1" t="s">
        <v>559</v>
      </c>
      <c r="C390" s="1" t="s">
        <v>323</v>
      </c>
      <c r="D390" s="4" t="s">
        <v>536</v>
      </c>
      <c r="E390" s="2" t="str">
        <f>HYPERLINK("http://www.intercariforef.org/formations/certification-82505.html","82505")</f>
        <v>82505</v>
      </c>
      <c r="F390" s="3">
        <v>41654</v>
      </c>
      <c r="G390" s="3">
        <v>42188</v>
      </c>
    </row>
    <row r="391" spans="1:7" x14ac:dyDescent="0.3">
      <c r="A391" s="1" t="s">
        <v>505</v>
      </c>
      <c r="B391" s="1" t="s">
        <v>560</v>
      </c>
      <c r="C391" s="1" t="s">
        <v>323</v>
      </c>
      <c r="D391" s="2" t="str">
        <f>HYPERLINK("https://inventaire.cncp.gouv.fr/fiches/1675/","1675")</f>
        <v>1675</v>
      </c>
      <c r="E391" s="2" t="str">
        <f>HYPERLINK("http://www.intercariforef.org/formations/certification-82508.html","82508")</f>
        <v>82508</v>
      </c>
      <c r="F391" s="3">
        <v>41654</v>
      </c>
      <c r="G391" s="3">
        <v>42395</v>
      </c>
    </row>
    <row r="392" spans="1:7" x14ac:dyDescent="0.3">
      <c r="A392" s="1" t="s">
        <v>505</v>
      </c>
      <c r="B392" s="1" t="s">
        <v>561</v>
      </c>
      <c r="C392" s="1" t="s">
        <v>323</v>
      </c>
      <c r="D392" s="4" t="s">
        <v>536</v>
      </c>
      <c r="E392" s="2" t="str">
        <f>HYPERLINK("http://www.intercariforef.org/formations/certification-82506.html","82506")</f>
        <v>82506</v>
      </c>
      <c r="F392" s="3">
        <v>41654</v>
      </c>
      <c r="G392" s="3">
        <v>42188</v>
      </c>
    </row>
    <row r="393" spans="1:7" x14ac:dyDescent="0.3">
      <c r="A393" s="1" t="s">
        <v>505</v>
      </c>
      <c r="B393" s="1" t="s">
        <v>562</v>
      </c>
      <c r="C393" s="1" t="s">
        <v>323</v>
      </c>
      <c r="D393" s="4" t="s">
        <v>536</v>
      </c>
      <c r="E393" s="2" t="str">
        <f>HYPERLINK("http://www.intercariforef.org/formations/certification-82507.html","82507")</f>
        <v>82507</v>
      </c>
      <c r="F393" s="3">
        <v>41654</v>
      </c>
      <c r="G393" s="3">
        <v>42188</v>
      </c>
    </row>
    <row r="394" spans="1:7" x14ac:dyDescent="0.3">
      <c r="A394" s="1" t="s">
        <v>505</v>
      </c>
      <c r="B394" s="1" t="s">
        <v>563</v>
      </c>
      <c r="C394" s="1" t="s">
        <v>186</v>
      </c>
      <c r="D394" s="2" t="str">
        <f>HYPERLINK("https://inventaire.cncp.gouv.fr/fiches/3720/","3720")</f>
        <v>3720</v>
      </c>
      <c r="E394" s="2" t="str">
        <f>HYPERLINK("http://www.intercariforef.org/formations/certification-102471.html","102471")</f>
        <v>102471</v>
      </c>
      <c r="F394" s="3">
        <v>43298</v>
      </c>
      <c r="G394" s="3">
        <v>43298</v>
      </c>
    </row>
    <row r="395" spans="1:7" x14ac:dyDescent="0.3">
      <c r="A395" s="1" t="s">
        <v>505</v>
      </c>
      <c r="B395" s="1" t="s">
        <v>564</v>
      </c>
      <c r="C395" s="1" t="s">
        <v>565</v>
      </c>
      <c r="D395" s="2" t="str">
        <f>HYPERLINK("https://inventaire.cncp.gouv.fr/fiches/1659/","1659")</f>
        <v>1659</v>
      </c>
      <c r="E395" s="2" t="str">
        <f>HYPERLINK("http://www.intercariforef.org/formations/certification-88511.html","88511")</f>
        <v>88511</v>
      </c>
      <c r="F395" s="3">
        <v>42466</v>
      </c>
      <c r="G395" s="3">
        <v>42466</v>
      </c>
    </row>
    <row r="396" spans="1:7" x14ac:dyDescent="0.3">
      <c r="A396" s="1" t="s">
        <v>505</v>
      </c>
      <c r="B396" s="1" t="s">
        <v>566</v>
      </c>
      <c r="C396" s="1" t="s">
        <v>565</v>
      </c>
      <c r="D396" s="2" t="str">
        <f>HYPERLINK("https://inventaire.cncp.gouv.fr/fiches/1780/","1780")</f>
        <v>1780</v>
      </c>
      <c r="E396" s="2" t="str">
        <f>HYPERLINK("http://www.intercariforef.org/formations/certification-99185.html","99185")</f>
        <v>99185</v>
      </c>
      <c r="F396" s="3">
        <v>43076</v>
      </c>
      <c r="G396" s="3">
        <v>43076</v>
      </c>
    </row>
    <row r="397" spans="1:7" x14ac:dyDescent="0.3">
      <c r="A397" s="1" t="s">
        <v>505</v>
      </c>
      <c r="B397" s="1" t="s">
        <v>567</v>
      </c>
      <c r="C397" s="1" t="s">
        <v>565</v>
      </c>
      <c r="D397" s="2" t="str">
        <f>HYPERLINK("https://inventaire.cncp.gouv.fr/fiches/1785/","1785")</f>
        <v>1785</v>
      </c>
      <c r="E397" s="2" t="str">
        <f>HYPERLINK("http://www.intercariforef.org/formations/certification-99187.html","99187")</f>
        <v>99187</v>
      </c>
      <c r="F397" s="3">
        <v>43076</v>
      </c>
      <c r="G397" s="3">
        <v>43076</v>
      </c>
    </row>
    <row r="398" spans="1:7" x14ac:dyDescent="0.3">
      <c r="A398" s="1" t="s">
        <v>505</v>
      </c>
      <c r="B398" s="1" t="s">
        <v>568</v>
      </c>
      <c r="C398" s="1" t="s">
        <v>565</v>
      </c>
      <c r="D398" s="2" t="str">
        <f>HYPERLINK("https://inventaire.cncp.gouv.fr/fiches/1656/","1656")</f>
        <v>1656</v>
      </c>
      <c r="E398" s="2" t="str">
        <f>HYPERLINK("http://www.intercariforef.org/formations/certification-88513.html","88513")</f>
        <v>88513</v>
      </c>
      <c r="F398" s="3">
        <v>42466</v>
      </c>
      <c r="G398" s="3">
        <v>42466</v>
      </c>
    </row>
    <row r="399" spans="1:7" x14ac:dyDescent="0.3">
      <c r="A399" s="1" t="s">
        <v>505</v>
      </c>
      <c r="B399" s="1" t="s">
        <v>569</v>
      </c>
      <c r="C399" s="1" t="s">
        <v>565</v>
      </c>
      <c r="D399" s="2" t="str">
        <f>HYPERLINK("https://inventaire.cncp.gouv.fr/fiches/1662/","1662")</f>
        <v>1662</v>
      </c>
      <c r="E399" s="2" t="str">
        <f>HYPERLINK("http://www.intercariforef.org/formations/certification-88515.html","88515")</f>
        <v>88515</v>
      </c>
      <c r="F399" s="3">
        <v>42466</v>
      </c>
      <c r="G399" s="3">
        <v>42466</v>
      </c>
    </row>
    <row r="400" spans="1:7" x14ac:dyDescent="0.3">
      <c r="A400" s="1" t="s">
        <v>570</v>
      </c>
      <c r="B400" s="1" t="s">
        <v>571</v>
      </c>
      <c r="C400" s="1" t="s">
        <v>75</v>
      </c>
      <c r="D400" s="2" t="str">
        <f>HYPERLINK("https://inventaire.cncp.gouv.fr/fiches/936/","936")</f>
        <v>936</v>
      </c>
      <c r="E400" s="2" t="str">
        <f>HYPERLINK("http://www.intercariforef.org/formations/certification-85058.html","85058")</f>
        <v>85058</v>
      </c>
      <c r="F400" s="3">
        <v>42185</v>
      </c>
      <c r="G400" s="3">
        <v>42185</v>
      </c>
    </row>
    <row r="401" spans="1:7" x14ac:dyDescent="0.3">
      <c r="A401" s="1" t="s">
        <v>570</v>
      </c>
      <c r="B401" s="1" t="s">
        <v>572</v>
      </c>
      <c r="C401" s="1" t="s">
        <v>573</v>
      </c>
      <c r="D401" s="2" t="str">
        <f>HYPERLINK("https://inventaire.cncp.gouv.fr/fiches/2213/","2213")</f>
        <v>2213</v>
      </c>
      <c r="E401" s="2" t="str">
        <f>HYPERLINK("http://www.intercariforef.org/formations/certification-90001.html","90001")</f>
        <v>90001</v>
      </c>
      <c r="F401" s="3">
        <v>42557</v>
      </c>
      <c r="G401" s="3">
        <v>42979</v>
      </c>
    </row>
    <row r="402" spans="1:7" x14ac:dyDescent="0.3">
      <c r="A402" s="1" t="s">
        <v>570</v>
      </c>
      <c r="B402" s="1" t="s">
        <v>574</v>
      </c>
      <c r="C402" s="1" t="s">
        <v>573</v>
      </c>
      <c r="D402" s="2" t="str">
        <f>HYPERLINK("https://inventaire.cncp.gouv.fr/fiches/2214/","2214")</f>
        <v>2214</v>
      </c>
      <c r="E402" s="2" t="str">
        <f>HYPERLINK("http://www.intercariforef.org/formations/certification-89999.html","89999")</f>
        <v>89999</v>
      </c>
      <c r="F402" s="3">
        <v>42557</v>
      </c>
      <c r="G402" s="3">
        <v>42979</v>
      </c>
    </row>
    <row r="403" spans="1:7" ht="26.2" x14ac:dyDescent="0.3">
      <c r="A403" s="1" t="s">
        <v>570</v>
      </c>
      <c r="B403" s="1" t="s">
        <v>575</v>
      </c>
      <c r="C403" s="1" t="s">
        <v>70</v>
      </c>
      <c r="D403" s="2" t="str">
        <f>HYPERLINK("https://inventaire.cncp.gouv.fr/fiches/2112/","2112")</f>
        <v>2112</v>
      </c>
      <c r="E403" s="2" t="str">
        <f>HYPERLINK("http://www.intercariforef.org/formations/certification-82445.html","82445")</f>
        <v>82445</v>
      </c>
      <c r="F403" s="3">
        <v>41641</v>
      </c>
      <c r="G403" s="3">
        <v>43111</v>
      </c>
    </row>
    <row r="404" spans="1:7" x14ac:dyDescent="0.3">
      <c r="A404" s="1" t="s">
        <v>570</v>
      </c>
      <c r="B404" s="1" t="s">
        <v>576</v>
      </c>
      <c r="C404" s="1" t="s">
        <v>70</v>
      </c>
      <c r="D404" s="2" t="str">
        <f>HYPERLINK("https://inventaire.cncp.gouv.fr/fiches/2112/","2112")</f>
        <v>2112</v>
      </c>
      <c r="E404" s="2" t="str">
        <f>HYPERLINK("http://www.intercariforef.org/formations/certification-82443.html","82443")</f>
        <v>82443</v>
      </c>
      <c r="F404" s="3">
        <v>41641</v>
      </c>
      <c r="G404" s="3">
        <v>43111</v>
      </c>
    </row>
    <row r="405" spans="1:7" ht="26.2" x14ac:dyDescent="0.3">
      <c r="A405" s="1" t="s">
        <v>570</v>
      </c>
      <c r="B405" s="1" t="s">
        <v>577</v>
      </c>
      <c r="C405" s="1" t="s">
        <v>70</v>
      </c>
      <c r="D405" s="2" t="str">
        <f>HYPERLINK("https://inventaire.cncp.gouv.fr/fiches/2112/","2112")</f>
        <v>2112</v>
      </c>
      <c r="E405" s="2" t="str">
        <f>HYPERLINK("http://www.intercariforef.org/formations/certification-82444.html","82444")</f>
        <v>82444</v>
      </c>
      <c r="F405" s="3">
        <v>41641</v>
      </c>
      <c r="G405" s="3">
        <v>43111</v>
      </c>
    </row>
    <row r="406" spans="1:7" ht="26.2" x14ac:dyDescent="0.3">
      <c r="A406" s="1" t="s">
        <v>570</v>
      </c>
      <c r="B406" s="1" t="s">
        <v>578</v>
      </c>
      <c r="C406" s="1" t="s">
        <v>70</v>
      </c>
      <c r="D406" s="2" t="str">
        <f>HYPERLINK("https://inventaire.cncp.gouv.fr/fiches/2111/","2111")</f>
        <v>2111</v>
      </c>
      <c r="E406" s="2" t="str">
        <f>HYPERLINK("http://www.intercariforef.org/formations/certification-82449.html","82449")</f>
        <v>82449</v>
      </c>
      <c r="F406" s="3">
        <v>41641</v>
      </c>
      <c r="G406" s="3">
        <v>43111</v>
      </c>
    </row>
    <row r="407" spans="1:7" ht="26.2" x14ac:dyDescent="0.3">
      <c r="A407" s="1" t="s">
        <v>570</v>
      </c>
      <c r="B407" s="1" t="s">
        <v>579</v>
      </c>
      <c r="C407" s="1" t="s">
        <v>70</v>
      </c>
      <c r="D407" s="2" t="str">
        <f>HYPERLINK("https://inventaire.cncp.gouv.fr/fiches/2111/","2111")</f>
        <v>2111</v>
      </c>
      <c r="E407" s="2" t="str">
        <f>HYPERLINK("http://www.intercariforef.org/formations/certification-82450.html","82450")</f>
        <v>82450</v>
      </c>
      <c r="F407" s="3">
        <v>41641</v>
      </c>
      <c r="G407" s="3">
        <v>43111</v>
      </c>
    </row>
    <row r="408" spans="1:7" ht="26.2" x14ac:dyDescent="0.3">
      <c r="A408" s="1" t="s">
        <v>570</v>
      </c>
      <c r="B408" s="1" t="s">
        <v>580</v>
      </c>
      <c r="C408" s="1" t="s">
        <v>70</v>
      </c>
      <c r="D408" s="2" t="str">
        <f>HYPERLINK("https://inventaire.cncp.gouv.fr/fiches/2111/","2111")</f>
        <v>2111</v>
      </c>
      <c r="E408" s="2" t="str">
        <f>HYPERLINK("http://www.intercariforef.org/formations/certification-82448.html","82448")</f>
        <v>82448</v>
      </c>
      <c r="F408" s="3">
        <v>41641</v>
      </c>
      <c r="G408" s="3">
        <v>43111</v>
      </c>
    </row>
    <row r="409" spans="1:7" ht="26.2" x14ac:dyDescent="0.3">
      <c r="A409" s="1" t="s">
        <v>570</v>
      </c>
      <c r="B409" s="1" t="s">
        <v>581</v>
      </c>
      <c r="C409" s="1" t="s">
        <v>70</v>
      </c>
      <c r="D409" s="2" t="str">
        <f>HYPERLINK("https://inventaire.cncp.gouv.fr/fiches/2111/","2111")</f>
        <v>2111</v>
      </c>
      <c r="E409" s="2" t="str">
        <f>HYPERLINK("http://www.intercariforef.org/formations/certification-82447.html","82447")</f>
        <v>82447</v>
      </c>
      <c r="F409" s="3">
        <v>41641</v>
      </c>
      <c r="G409" s="3">
        <v>43111</v>
      </c>
    </row>
    <row r="410" spans="1:7" ht="26.2" x14ac:dyDescent="0.3">
      <c r="A410" s="1" t="s">
        <v>570</v>
      </c>
      <c r="B410" s="1" t="s">
        <v>582</v>
      </c>
      <c r="C410" s="1" t="s">
        <v>70</v>
      </c>
      <c r="D410" s="2" t="str">
        <f>HYPERLINK("https://inventaire.cncp.gouv.fr/fiches/2111/","2111")</f>
        <v>2111</v>
      </c>
      <c r="E410" s="2" t="str">
        <f>HYPERLINK("http://www.intercariforef.org/formations/certification-82446.html","82446")</f>
        <v>82446</v>
      </c>
      <c r="F410" s="3">
        <v>41641</v>
      </c>
      <c r="G410" s="3">
        <v>43111</v>
      </c>
    </row>
    <row r="411" spans="1:7" ht="26.2" x14ac:dyDescent="0.3">
      <c r="A411" s="1" t="s">
        <v>570</v>
      </c>
      <c r="B411" s="1" t="s">
        <v>583</v>
      </c>
      <c r="C411" s="1" t="s">
        <v>70</v>
      </c>
      <c r="D411" s="2" t="str">
        <f>HYPERLINK("https://inventaire.cncp.gouv.fr/fiches/1869/","1869")</f>
        <v>1869</v>
      </c>
      <c r="E411" s="2" t="str">
        <f>HYPERLINK("http://www.intercariforef.org/formations/certification-82452.html","82452")</f>
        <v>82452</v>
      </c>
      <c r="F411" s="3">
        <v>41641</v>
      </c>
      <c r="G411" s="3">
        <v>43111</v>
      </c>
    </row>
    <row r="412" spans="1:7" ht="26.2" x14ac:dyDescent="0.3">
      <c r="A412" s="1" t="s">
        <v>570</v>
      </c>
      <c r="B412" s="1" t="s">
        <v>584</v>
      </c>
      <c r="C412" s="1" t="s">
        <v>70</v>
      </c>
      <c r="D412" s="2" t="str">
        <f>HYPERLINK("https://inventaire.cncp.gouv.fr/fiches/1869/","1869")</f>
        <v>1869</v>
      </c>
      <c r="E412" s="2" t="str">
        <f>HYPERLINK("http://www.intercariforef.org/formations/certification-82451.html","82451")</f>
        <v>82451</v>
      </c>
      <c r="F412" s="3">
        <v>41641</v>
      </c>
      <c r="G412" s="3">
        <v>43111</v>
      </c>
    </row>
    <row r="413" spans="1:7" x14ac:dyDescent="0.3">
      <c r="A413" s="1" t="s">
        <v>570</v>
      </c>
      <c r="B413" s="1" t="s">
        <v>585</v>
      </c>
      <c r="C413" s="1" t="s">
        <v>586</v>
      </c>
      <c r="D413" s="2" t="str">
        <f>HYPERLINK("https://inventaire.cncp.gouv.fr/fiches/3364/","3364")</f>
        <v>3364</v>
      </c>
      <c r="E413" s="2" t="str">
        <f>HYPERLINK("http://www.intercariforef.org/formations/certification-104169.html","104169")</f>
        <v>104169</v>
      </c>
      <c r="F413" s="3">
        <v>43398</v>
      </c>
      <c r="G413" s="3">
        <v>43398</v>
      </c>
    </row>
    <row r="414" spans="1:7" x14ac:dyDescent="0.3">
      <c r="A414" s="1" t="s">
        <v>570</v>
      </c>
      <c r="B414" s="1" t="s">
        <v>587</v>
      </c>
      <c r="C414" s="1" t="s">
        <v>588</v>
      </c>
      <c r="D414" s="2" t="str">
        <f>HYPERLINK("https://inventaire.cncp.gouv.fr/fiches/2553/","2553")</f>
        <v>2553</v>
      </c>
      <c r="E414" s="2" t="str">
        <f>HYPERLINK("http://www.intercariforef.org/formations/certification-94187.html","94187")</f>
        <v>94187</v>
      </c>
      <c r="F414" s="3">
        <v>42773</v>
      </c>
      <c r="G414" s="3">
        <v>42979</v>
      </c>
    </row>
    <row r="415" spans="1:7" x14ac:dyDescent="0.3">
      <c r="A415" s="1" t="s">
        <v>570</v>
      </c>
      <c r="B415" s="1" t="s">
        <v>589</v>
      </c>
      <c r="C415" s="1" t="s">
        <v>588</v>
      </c>
      <c r="D415" s="2" t="str">
        <f>HYPERLINK("https://inventaire.cncp.gouv.fr/fiches/2563/","2563")</f>
        <v>2563</v>
      </c>
      <c r="E415" s="2" t="str">
        <f>HYPERLINK("http://www.intercariforef.org/formations/certification-94183.html","94183")</f>
        <v>94183</v>
      </c>
      <c r="F415" s="3">
        <v>42773</v>
      </c>
      <c r="G415" s="3">
        <v>42979</v>
      </c>
    </row>
    <row r="416" spans="1:7" x14ac:dyDescent="0.3">
      <c r="A416" s="1" t="s">
        <v>570</v>
      </c>
      <c r="B416" s="1" t="s">
        <v>590</v>
      </c>
      <c r="C416" s="1" t="s">
        <v>588</v>
      </c>
      <c r="D416" s="2" t="str">
        <f>HYPERLINK("https://inventaire.cncp.gouv.fr/fiches/2538/","2538")</f>
        <v>2538</v>
      </c>
      <c r="E416" s="2" t="str">
        <f>HYPERLINK("http://www.intercariforef.org/formations/certification-94191.html","94191")</f>
        <v>94191</v>
      </c>
      <c r="F416" s="3">
        <v>42773</v>
      </c>
      <c r="G416" s="3">
        <v>42979</v>
      </c>
    </row>
    <row r="417" spans="1:7" x14ac:dyDescent="0.3">
      <c r="A417" s="1" t="s">
        <v>570</v>
      </c>
      <c r="B417" s="1" t="s">
        <v>591</v>
      </c>
      <c r="C417" s="1" t="s">
        <v>588</v>
      </c>
      <c r="D417" s="2" t="str">
        <f>HYPERLINK("https://inventaire.cncp.gouv.fr/fiches/2531/","2531")</f>
        <v>2531</v>
      </c>
      <c r="E417" s="2" t="str">
        <f>HYPERLINK("http://www.intercariforef.org/formations/certification-85400.html","85400")</f>
        <v>85400</v>
      </c>
      <c r="F417" s="3">
        <v>42254</v>
      </c>
      <c r="G417" s="3">
        <v>42979</v>
      </c>
    </row>
    <row r="418" spans="1:7" x14ac:dyDescent="0.3">
      <c r="A418" s="1" t="s">
        <v>570</v>
      </c>
      <c r="B418" s="1" t="s">
        <v>592</v>
      </c>
      <c r="C418" s="1" t="s">
        <v>588</v>
      </c>
      <c r="D418" s="2" t="str">
        <f>HYPERLINK("https://inventaire.cncp.gouv.fr/fiches/2546/","2546")</f>
        <v>2546</v>
      </c>
      <c r="E418" s="2" t="str">
        <f>HYPERLINK("http://www.intercariforef.org/formations/certification-85401.html","85401")</f>
        <v>85401</v>
      </c>
      <c r="F418" s="3">
        <v>42254</v>
      </c>
      <c r="G418" s="3">
        <v>42979</v>
      </c>
    </row>
    <row r="419" spans="1:7" ht="26.2" x14ac:dyDescent="0.3">
      <c r="A419" s="1" t="s">
        <v>570</v>
      </c>
      <c r="B419" s="1" t="s">
        <v>593</v>
      </c>
      <c r="C419" s="1" t="s">
        <v>588</v>
      </c>
      <c r="D419" s="2" t="str">
        <f>HYPERLINK("https://inventaire.cncp.gouv.fr/fiches/2537/","2537")</f>
        <v>2537</v>
      </c>
      <c r="E419" s="2" t="str">
        <f>HYPERLINK("http://www.intercariforef.org/formations/certification-85394.html","85394")</f>
        <v>85394</v>
      </c>
      <c r="F419" s="3">
        <v>42254</v>
      </c>
      <c r="G419" s="3">
        <v>42979</v>
      </c>
    </row>
    <row r="420" spans="1:7" ht="26.2" x14ac:dyDescent="0.3">
      <c r="A420" s="1" t="s">
        <v>570</v>
      </c>
      <c r="B420" s="1" t="s">
        <v>594</v>
      </c>
      <c r="C420" s="1" t="s">
        <v>588</v>
      </c>
      <c r="D420" s="2" t="str">
        <f>HYPERLINK("https://inventaire.cncp.gouv.fr/fiches/2552/","2552")</f>
        <v>2552</v>
      </c>
      <c r="E420" s="2" t="str">
        <f>HYPERLINK("http://www.intercariforef.org/formations/certification-85398.html","85398")</f>
        <v>85398</v>
      </c>
      <c r="F420" s="3">
        <v>42254</v>
      </c>
      <c r="G420" s="3">
        <v>42979</v>
      </c>
    </row>
    <row r="421" spans="1:7" ht="26.2" x14ac:dyDescent="0.3">
      <c r="A421" s="1" t="s">
        <v>570</v>
      </c>
      <c r="B421" s="1" t="s">
        <v>595</v>
      </c>
      <c r="C421" s="1" t="s">
        <v>588</v>
      </c>
      <c r="D421" s="2" t="str">
        <f>HYPERLINK("https://inventaire.cncp.gouv.fr/fiches/2560/","2560")</f>
        <v>2560</v>
      </c>
      <c r="E421" s="2" t="str">
        <f>HYPERLINK("http://www.intercariforef.org/formations/certification-94185.html","94185")</f>
        <v>94185</v>
      </c>
      <c r="F421" s="3">
        <v>42773</v>
      </c>
      <c r="G421" s="3">
        <v>42979</v>
      </c>
    </row>
    <row r="422" spans="1:7" x14ac:dyDescent="0.3">
      <c r="A422" s="1" t="s">
        <v>570</v>
      </c>
      <c r="B422" s="1" t="s">
        <v>596</v>
      </c>
      <c r="C422" s="1" t="s">
        <v>597</v>
      </c>
      <c r="D422" s="2" t="str">
        <f>HYPERLINK("https://inventaire.cncp.gouv.fr/fiches/2045/","2045")</f>
        <v>2045</v>
      </c>
      <c r="E422" s="2" t="str">
        <f>HYPERLINK("http://www.intercariforef.org/formations/certification-92133.html","92133")</f>
        <v>92133</v>
      </c>
      <c r="F422" s="3">
        <v>42667</v>
      </c>
      <c r="G422" s="3">
        <v>42667</v>
      </c>
    </row>
    <row r="423" spans="1:7" x14ac:dyDescent="0.3">
      <c r="A423" s="1" t="s">
        <v>570</v>
      </c>
      <c r="B423" s="1" t="s">
        <v>598</v>
      </c>
      <c r="C423" s="1" t="s">
        <v>597</v>
      </c>
      <c r="D423" s="2" t="str">
        <f>HYPERLINK("https://inventaire.cncp.gouv.fr/fiches/2052/","2052")</f>
        <v>2052</v>
      </c>
      <c r="E423" s="2" t="str">
        <f>HYPERLINK("http://www.intercariforef.org/formations/certification-92135.html","92135")</f>
        <v>92135</v>
      </c>
      <c r="F423" s="3">
        <v>42667</v>
      </c>
      <c r="G423" s="3">
        <v>42667</v>
      </c>
    </row>
    <row r="424" spans="1:7" x14ac:dyDescent="0.3">
      <c r="A424" s="1" t="s">
        <v>570</v>
      </c>
      <c r="B424" s="1" t="s">
        <v>599</v>
      </c>
      <c r="C424" s="1" t="s">
        <v>597</v>
      </c>
      <c r="D424" s="2" t="str">
        <f>HYPERLINK("https://inventaire.cncp.gouv.fr/fiches/2055/","2055")</f>
        <v>2055</v>
      </c>
      <c r="E424" s="2" t="str">
        <f>HYPERLINK("http://www.intercariforef.org/formations/certification-92141.html","92141")</f>
        <v>92141</v>
      </c>
      <c r="F424" s="3">
        <v>42667</v>
      </c>
      <c r="G424" s="3">
        <v>42718</v>
      </c>
    </row>
    <row r="425" spans="1:7" x14ac:dyDescent="0.3">
      <c r="A425" s="1" t="s">
        <v>570</v>
      </c>
      <c r="B425" s="1" t="s">
        <v>600</v>
      </c>
      <c r="C425" s="1" t="s">
        <v>597</v>
      </c>
      <c r="D425" s="2" t="str">
        <f>HYPERLINK("https://inventaire.cncp.gouv.fr/fiches/2053/","2053")</f>
        <v>2053</v>
      </c>
      <c r="E425" s="2" t="str">
        <f>HYPERLINK("http://www.intercariforef.org/formations/certification-92137.html","92137")</f>
        <v>92137</v>
      </c>
      <c r="F425" s="3">
        <v>42667</v>
      </c>
      <c r="G425" s="3">
        <v>42667</v>
      </c>
    </row>
    <row r="426" spans="1:7" x14ac:dyDescent="0.3">
      <c r="A426" s="1" t="s">
        <v>570</v>
      </c>
      <c r="B426" s="1" t="s">
        <v>601</v>
      </c>
      <c r="C426" s="1" t="s">
        <v>602</v>
      </c>
      <c r="D426" s="2" t="str">
        <f>HYPERLINK("https://inventaire.cncp.gouv.fr/fiches/2400/","2400")</f>
        <v>2400</v>
      </c>
      <c r="E426" s="2" t="str">
        <f>HYPERLINK("http://www.intercariforef.org/formations/certification-93927.html","93927")</f>
        <v>93927</v>
      </c>
      <c r="F426" s="3">
        <v>42744</v>
      </c>
      <c r="G426" s="3">
        <v>42979</v>
      </c>
    </row>
    <row r="427" spans="1:7" x14ac:dyDescent="0.3">
      <c r="A427" s="1" t="s">
        <v>570</v>
      </c>
      <c r="B427" s="1" t="s">
        <v>603</v>
      </c>
      <c r="C427" s="1" t="s">
        <v>604</v>
      </c>
      <c r="D427" s="2" t="str">
        <f>HYPERLINK("https://inventaire.cncp.gouv.fr/fiches/1846/","1846")</f>
        <v>1846</v>
      </c>
      <c r="E427" s="2" t="str">
        <f>HYPERLINK("http://www.intercariforef.org/formations/certification-88471.html","88471")</f>
        <v>88471</v>
      </c>
      <c r="F427" s="3">
        <v>42464</v>
      </c>
      <c r="G427" s="3">
        <v>42464</v>
      </c>
    </row>
    <row r="428" spans="1:7" x14ac:dyDescent="0.3">
      <c r="A428" s="1" t="s">
        <v>570</v>
      </c>
      <c r="B428" s="1" t="s">
        <v>605</v>
      </c>
      <c r="C428" s="1" t="s">
        <v>604</v>
      </c>
      <c r="D428" s="2" t="str">
        <f>HYPERLINK("https://inventaire.cncp.gouv.fr/fiches/1843/","1843")</f>
        <v>1843</v>
      </c>
      <c r="E428" s="2" t="str">
        <f>HYPERLINK("http://www.intercariforef.org/formations/certification-88393.html","88393")</f>
        <v>88393</v>
      </c>
      <c r="F428" s="3">
        <v>42461</v>
      </c>
      <c r="G428" s="3">
        <v>42461</v>
      </c>
    </row>
    <row r="429" spans="1:7" x14ac:dyDescent="0.3">
      <c r="A429" s="1" t="s">
        <v>570</v>
      </c>
      <c r="B429" s="1" t="s">
        <v>606</v>
      </c>
      <c r="C429" s="1" t="s">
        <v>604</v>
      </c>
      <c r="D429" s="2" t="str">
        <f>HYPERLINK("https://inventaire.cncp.gouv.fr/fiches/1847/","1847")</f>
        <v>1847</v>
      </c>
      <c r="E429" s="2" t="str">
        <f>HYPERLINK("http://www.intercariforef.org/formations/certification-88473.html","88473")</f>
        <v>88473</v>
      </c>
      <c r="F429" s="3">
        <v>42464</v>
      </c>
      <c r="G429" s="3">
        <v>42464</v>
      </c>
    </row>
    <row r="430" spans="1:7" x14ac:dyDescent="0.3">
      <c r="A430" s="1" t="s">
        <v>570</v>
      </c>
      <c r="B430" s="1" t="s">
        <v>607</v>
      </c>
      <c r="C430" s="1" t="s">
        <v>604</v>
      </c>
      <c r="D430" s="2" t="str">
        <f>HYPERLINK("https://inventaire.cncp.gouv.fr/fiches/1850/","1850")</f>
        <v>1850</v>
      </c>
      <c r="E430" s="2" t="str">
        <f>HYPERLINK("http://www.intercariforef.org/formations/certification-88467.html","88467")</f>
        <v>88467</v>
      </c>
      <c r="F430" s="3">
        <v>42464</v>
      </c>
      <c r="G430" s="3">
        <v>42464</v>
      </c>
    </row>
    <row r="431" spans="1:7" x14ac:dyDescent="0.3">
      <c r="A431" s="1" t="s">
        <v>570</v>
      </c>
      <c r="B431" s="1" t="s">
        <v>608</v>
      </c>
      <c r="C431" s="1" t="s">
        <v>604</v>
      </c>
      <c r="D431" s="2" t="str">
        <f>HYPERLINK("https://inventaire.cncp.gouv.fr/fiches/1849/","1849")</f>
        <v>1849</v>
      </c>
      <c r="E431" s="2" t="str">
        <f>HYPERLINK("http://www.intercariforef.org/formations/certification-88475.html","88475")</f>
        <v>88475</v>
      </c>
      <c r="F431" s="3">
        <v>42464</v>
      </c>
      <c r="G431" s="3">
        <v>42464</v>
      </c>
    </row>
    <row r="432" spans="1:7" x14ac:dyDescent="0.3">
      <c r="A432" s="1" t="s">
        <v>570</v>
      </c>
      <c r="B432" s="1" t="s">
        <v>609</v>
      </c>
      <c r="C432" s="1" t="s">
        <v>604</v>
      </c>
      <c r="D432" s="2" t="str">
        <f>HYPERLINK("https://inventaire.cncp.gouv.fr/fiches/1848/","1848")</f>
        <v>1848</v>
      </c>
      <c r="E432" s="2" t="str">
        <f>HYPERLINK("http://www.intercariforef.org/formations/certification-88405.html","88405")</f>
        <v>88405</v>
      </c>
      <c r="F432" s="3">
        <v>42461</v>
      </c>
      <c r="G432" s="3">
        <v>42461</v>
      </c>
    </row>
    <row r="433" spans="1:7" x14ac:dyDescent="0.3">
      <c r="A433" s="1" t="s">
        <v>570</v>
      </c>
      <c r="B433" s="1" t="s">
        <v>610</v>
      </c>
      <c r="C433" s="1" t="s">
        <v>350</v>
      </c>
      <c r="D433" s="2" t="str">
        <f>HYPERLINK("https://inventaire.cncp.gouv.fr/fiches/3302/","3302")</f>
        <v>3302</v>
      </c>
      <c r="E433" s="2" t="str">
        <f>HYPERLINK("http://www.intercariforef.org/formations/certification-104019.html","104019")</f>
        <v>104019</v>
      </c>
      <c r="F433" s="3">
        <v>43392</v>
      </c>
      <c r="G433" s="3">
        <v>43392</v>
      </c>
    </row>
    <row r="434" spans="1:7" x14ac:dyDescent="0.3">
      <c r="A434" s="1" t="s">
        <v>570</v>
      </c>
      <c r="B434" s="1" t="s">
        <v>611</v>
      </c>
      <c r="C434" s="1" t="s">
        <v>602</v>
      </c>
      <c r="D434" s="2" t="str">
        <f>HYPERLINK("https://inventaire.cncp.gouv.fr/fiches/1217/","1217")</f>
        <v>1217</v>
      </c>
      <c r="E434" s="2" t="str">
        <f>HYPERLINK("http://www.intercariforef.org/formations/certification-86348.html","86348")</f>
        <v>86348</v>
      </c>
      <c r="F434" s="3">
        <v>42340</v>
      </c>
      <c r="G434" s="3">
        <v>42340</v>
      </c>
    </row>
    <row r="435" spans="1:7" x14ac:dyDescent="0.3">
      <c r="A435" s="1" t="s">
        <v>570</v>
      </c>
      <c r="B435" s="1" t="s">
        <v>612</v>
      </c>
      <c r="C435" s="1" t="s">
        <v>613</v>
      </c>
      <c r="D435" s="2" t="str">
        <f>HYPERLINK("https://inventaire.cncp.gouv.fr/fiches/2729/","2729")</f>
        <v>2729</v>
      </c>
      <c r="E435" s="2" t="str">
        <f>HYPERLINK("http://www.intercariforef.org/formations/certification-97081.html","97081")</f>
        <v>97081</v>
      </c>
      <c r="F435" s="3">
        <v>42978</v>
      </c>
      <c r="G435" s="3">
        <v>42978</v>
      </c>
    </row>
    <row r="436" spans="1:7" x14ac:dyDescent="0.3">
      <c r="A436" s="1" t="s">
        <v>570</v>
      </c>
      <c r="B436" s="1" t="s">
        <v>614</v>
      </c>
      <c r="C436" s="1" t="s">
        <v>604</v>
      </c>
      <c r="D436" s="2" t="str">
        <f>HYPERLINK("https://inventaire.cncp.gouv.fr/fiches/1844/","1844")</f>
        <v>1844</v>
      </c>
      <c r="E436" s="2" t="str">
        <f>HYPERLINK("http://www.intercariforef.org/formations/certification-88399.html","88399")</f>
        <v>88399</v>
      </c>
      <c r="F436" s="3">
        <v>42461</v>
      </c>
      <c r="G436" s="3">
        <v>42461</v>
      </c>
    </row>
    <row r="437" spans="1:7" x14ac:dyDescent="0.3">
      <c r="A437" s="1" t="s">
        <v>570</v>
      </c>
      <c r="B437" s="1" t="s">
        <v>615</v>
      </c>
      <c r="C437" s="1" t="s">
        <v>616</v>
      </c>
      <c r="D437" s="2" t="str">
        <f>HYPERLINK("https://inventaire.cncp.gouv.fr/fiches/277/","277")</f>
        <v>277</v>
      </c>
      <c r="E437" s="2" t="str">
        <f>HYPERLINK("http://www.intercariforef.org/formations/certification-85711.html","85711")</f>
        <v>85711</v>
      </c>
      <c r="F437" s="3">
        <v>42275</v>
      </c>
      <c r="G437" s="3">
        <v>42979</v>
      </c>
    </row>
    <row r="438" spans="1:7" ht="26.2" x14ac:dyDescent="0.3">
      <c r="A438" s="1" t="s">
        <v>617</v>
      </c>
      <c r="B438" s="1" t="s">
        <v>618</v>
      </c>
      <c r="C438" s="1" t="s">
        <v>75</v>
      </c>
      <c r="D438" s="2" t="str">
        <f>HYPERLINK("https://inventaire.cncp.gouv.fr/fiches/1769/","1769")</f>
        <v>1769</v>
      </c>
      <c r="E438" s="2" t="str">
        <f>HYPERLINK("http://www.intercariforef.org/formations/certification-93869.html","93869")</f>
        <v>93869</v>
      </c>
      <c r="F438" s="3">
        <v>42744</v>
      </c>
      <c r="G438" s="3">
        <v>43152</v>
      </c>
    </row>
    <row r="439" spans="1:7" x14ac:dyDescent="0.3">
      <c r="A439" s="1" t="s">
        <v>617</v>
      </c>
      <c r="B439" s="1" t="s">
        <v>619</v>
      </c>
      <c r="C439" s="1" t="s">
        <v>75</v>
      </c>
      <c r="D439" s="2" t="str">
        <f>HYPERLINK("https://inventaire.cncp.gouv.fr/fiches/1761/","1761")</f>
        <v>1761</v>
      </c>
      <c r="E439" s="2" t="str">
        <f>HYPERLINK("http://www.intercariforef.org/formations/certification-95253.html","95253")</f>
        <v>95253</v>
      </c>
      <c r="F439" s="3">
        <v>42851</v>
      </c>
      <c r="G439" s="3">
        <v>43152</v>
      </c>
    </row>
    <row r="440" spans="1:7" x14ac:dyDescent="0.3">
      <c r="A440" s="1" t="s">
        <v>617</v>
      </c>
      <c r="B440" s="1" t="s">
        <v>620</v>
      </c>
      <c r="C440" s="1" t="s">
        <v>323</v>
      </c>
      <c r="D440" s="2" t="str">
        <f>HYPERLINK("https://inventaire.cncp.gouv.fr/fiches/1719/","1719")</f>
        <v>1719</v>
      </c>
      <c r="E440" s="2" t="str">
        <f>HYPERLINK("http://www.intercariforef.org/formations/certification-88115.html","88115")</f>
        <v>88115</v>
      </c>
      <c r="F440" s="3">
        <v>42445</v>
      </c>
      <c r="G440" s="3">
        <v>42979</v>
      </c>
    </row>
    <row r="441" spans="1:7" ht="26.2" x14ac:dyDescent="0.3">
      <c r="A441" s="1" t="s">
        <v>617</v>
      </c>
      <c r="B441" s="1" t="s">
        <v>621</v>
      </c>
      <c r="C441" s="1" t="s">
        <v>622</v>
      </c>
      <c r="D441" s="2" t="str">
        <f>HYPERLINK("https://inventaire.cncp.gouv.fr/fiches/2869/","2869")</f>
        <v>2869</v>
      </c>
      <c r="E441" s="2" t="str">
        <f>HYPERLINK("http://www.intercariforef.org/formations/certification-98549.html","98549")</f>
        <v>98549</v>
      </c>
      <c r="F441" s="3">
        <v>43034</v>
      </c>
      <c r="G441" s="3">
        <v>43034</v>
      </c>
    </row>
    <row r="442" spans="1:7" ht="26.2" x14ac:dyDescent="0.3">
      <c r="A442" s="1" t="s">
        <v>617</v>
      </c>
      <c r="B442" s="1" t="s">
        <v>623</v>
      </c>
      <c r="C442" s="1" t="s">
        <v>624</v>
      </c>
      <c r="D442" s="2" t="str">
        <f>HYPERLINK("https://inventaire.cncp.gouv.fr/fiches/2332/","2332")</f>
        <v>2332</v>
      </c>
      <c r="E442" s="2" t="str">
        <f>HYPERLINK("http://www.intercariforef.org/formations/certification-92109.html","92109")</f>
        <v>92109</v>
      </c>
      <c r="F442" s="3">
        <v>42667</v>
      </c>
      <c r="G442" s="3">
        <v>43125</v>
      </c>
    </row>
    <row r="443" spans="1:7" x14ac:dyDescent="0.3">
      <c r="A443" s="1" t="s">
        <v>617</v>
      </c>
      <c r="B443" s="1" t="s">
        <v>625</v>
      </c>
      <c r="C443" s="1" t="s">
        <v>75</v>
      </c>
      <c r="D443" s="2" t="str">
        <f>HYPERLINK("https://inventaire.cncp.gouv.fr/fiches/1289/","1289")</f>
        <v>1289</v>
      </c>
      <c r="E443" s="2" t="str">
        <f>HYPERLINK("http://www.intercariforef.org/formations/certification-85486.html","85486")</f>
        <v>85486</v>
      </c>
      <c r="F443" s="3">
        <v>42264</v>
      </c>
      <c r="G443" s="3">
        <v>43152</v>
      </c>
    </row>
    <row r="444" spans="1:7" x14ac:dyDescent="0.3">
      <c r="A444" s="1" t="s">
        <v>617</v>
      </c>
      <c r="B444" s="1" t="s">
        <v>626</v>
      </c>
      <c r="C444" s="1" t="s">
        <v>75</v>
      </c>
      <c r="D444" s="2" t="str">
        <f>HYPERLINK("https://inventaire.cncp.gouv.fr/fiches/1292/","1292")</f>
        <v>1292</v>
      </c>
      <c r="E444" s="2" t="str">
        <f>HYPERLINK("http://www.intercariforef.org/formations/certification-85487.html","85487")</f>
        <v>85487</v>
      </c>
      <c r="F444" s="3">
        <v>42264</v>
      </c>
      <c r="G444" s="3">
        <v>43152</v>
      </c>
    </row>
    <row r="445" spans="1:7" x14ac:dyDescent="0.3">
      <c r="A445" s="1" t="s">
        <v>617</v>
      </c>
      <c r="B445" s="1" t="s">
        <v>627</v>
      </c>
      <c r="C445" s="1" t="s">
        <v>628</v>
      </c>
      <c r="D445" s="2" t="str">
        <f>HYPERLINK("https://inventaire.cncp.gouv.fr/fiches/3510/","3510")</f>
        <v>3510</v>
      </c>
      <c r="E445" s="2" t="str">
        <f>HYPERLINK("http://www.intercariforef.org/formations/certification-100831.html","100831")</f>
        <v>100831</v>
      </c>
      <c r="F445" s="3">
        <v>43209</v>
      </c>
      <c r="G445" s="3">
        <v>43209</v>
      </c>
    </row>
    <row r="446" spans="1:7" x14ac:dyDescent="0.3">
      <c r="A446" s="1" t="s">
        <v>617</v>
      </c>
      <c r="B446" s="1" t="s">
        <v>629</v>
      </c>
      <c r="C446" s="1" t="s">
        <v>630</v>
      </c>
      <c r="D446" s="2" t="str">
        <f>HYPERLINK("https://inventaire.cncp.gouv.fr/fiches/3904/","3904")</f>
        <v>3904</v>
      </c>
      <c r="E446" s="2" t="str">
        <f>HYPERLINK("http://www.intercariforef.org/formations/certification-103933.html","103933")</f>
        <v>103933</v>
      </c>
      <c r="F446" s="3">
        <v>43390</v>
      </c>
      <c r="G446" s="3">
        <v>43390</v>
      </c>
    </row>
    <row r="447" spans="1:7" x14ac:dyDescent="0.3">
      <c r="A447" s="1" t="s">
        <v>617</v>
      </c>
      <c r="B447" s="1" t="s">
        <v>631</v>
      </c>
      <c r="C447" s="1" t="s">
        <v>632</v>
      </c>
      <c r="D447" s="2" t="str">
        <f>HYPERLINK("https://inventaire.cncp.gouv.fr/fiches/2207/","2207")</f>
        <v>2207</v>
      </c>
      <c r="E447" s="2" t="str">
        <f>HYPERLINK("http://www.intercariforef.org/formations/certification-91897.html","91897")</f>
        <v>91897</v>
      </c>
      <c r="F447" s="3">
        <v>42662</v>
      </c>
      <c r="G447" s="3">
        <v>42662</v>
      </c>
    </row>
    <row r="448" spans="1:7" ht="26.2" x14ac:dyDescent="0.3">
      <c r="A448" s="1" t="s">
        <v>633</v>
      </c>
      <c r="B448" s="1" t="s">
        <v>634</v>
      </c>
      <c r="C448" s="1" t="s">
        <v>635</v>
      </c>
      <c r="D448" s="2" t="str">
        <f>HYPERLINK("https://inventaire.cncp.gouv.fr/fiches/1741/","1741")</f>
        <v>1741</v>
      </c>
      <c r="E448" s="2" t="str">
        <f>HYPERLINK("http://www.intercariforef.org/formations/certification-72064.html","72064")</f>
        <v>72064</v>
      </c>
      <c r="F448" s="3">
        <v>40520</v>
      </c>
      <c r="G448" s="3">
        <v>43111</v>
      </c>
    </row>
    <row r="449" spans="1:7" ht="26.2" x14ac:dyDescent="0.3">
      <c r="A449" s="1" t="s">
        <v>633</v>
      </c>
      <c r="B449" s="1" t="s">
        <v>636</v>
      </c>
      <c r="C449" s="1" t="s">
        <v>635</v>
      </c>
      <c r="D449" s="2" t="str">
        <f>HYPERLINK("https://inventaire.cncp.gouv.fr/fiches/1741/","1741")</f>
        <v>1741</v>
      </c>
      <c r="E449" s="2" t="str">
        <f>HYPERLINK("http://www.intercariforef.org/formations/certification-72069.html","72069")</f>
        <v>72069</v>
      </c>
      <c r="F449" s="3">
        <v>40520</v>
      </c>
      <c r="G449" s="3">
        <v>43111</v>
      </c>
    </row>
    <row r="450" spans="1:7" ht="26.2" x14ac:dyDescent="0.3">
      <c r="A450" s="1" t="s">
        <v>633</v>
      </c>
      <c r="B450" s="1" t="s">
        <v>637</v>
      </c>
      <c r="C450" s="1" t="s">
        <v>635</v>
      </c>
      <c r="D450" s="2" t="str">
        <f>HYPERLINK("https://inventaire.cncp.gouv.fr/fiches/1741/","1741")</f>
        <v>1741</v>
      </c>
      <c r="E450" s="2" t="str">
        <f>HYPERLINK("http://www.intercariforef.org/formations/certification-72072.html","72072")</f>
        <v>72072</v>
      </c>
      <c r="F450" s="3">
        <v>40520</v>
      </c>
      <c r="G450" s="3">
        <v>43111</v>
      </c>
    </row>
    <row r="451" spans="1:7" ht="26.2" x14ac:dyDescent="0.3">
      <c r="A451" s="1" t="s">
        <v>633</v>
      </c>
      <c r="B451" s="1" t="s">
        <v>638</v>
      </c>
      <c r="C451" s="1" t="s">
        <v>635</v>
      </c>
      <c r="D451" s="2" t="str">
        <f>HYPERLINK("https://inventaire.cncp.gouv.fr/fiches/1741/","1741")</f>
        <v>1741</v>
      </c>
      <c r="E451" s="2" t="str">
        <f>HYPERLINK("http://www.intercariforef.org/formations/certification-72073.html","72073")</f>
        <v>72073</v>
      </c>
      <c r="F451" s="3">
        <v>40520</v>
      </c>
      <c r="G451" s="3">
        <v>43111</v>
      </c>
    </row>
    <row r="452" spans="1:7" ht="26.2" x14ac:dyDescent="0.3">
      <c r="A452" s="1" t="s">
        <v>633</v>
      </c>
      <c r="B452" s="1" t="s">
        <v>639</v>
      </c>
      <c r="C452" s="1" t="s">
        <v>635</v>
      </c>
      <c r="D452" s="2" t="str">
        <f>HYPERLINK("https://inventaire.cncp.gouv.fr/fiches/1741/","1741")</f>
        <v>1741</v>
      </c>
      <c r="E452" s="2" t="str">
        <f>HYPERLINK("http://www.intercariforef.org/formations/certification-72074.html","72074")</f>
        <v>72074</v>
      </c>
      <c r="F452" s="3">
        <v>40520</v>
      </c>
      <c r="G452" s="3">
        <v>43111</v>
      </c>
    </row>
    <row r="453" spans="1:7" ht="26.2" x14ac:dyDescent="0.3">
      <c r="A453" s="1" t="s">
        <v>633</v>
      </c>
      <c r="B453" s="1" t="s">
        <v>640</v>
      </c>
      <c r="C453" s="1" t="s">
        <v>641</v>
      </c>
      <c r="D453" s="2" t="str">
        <f>HYPERLINK("https://inventaire.cncp.gouv.fr/fiches/1318/","1318")</f>
        <v>1318</v>
      </c>
      <c r="E453" s="2" t="str">
        <f>HYPERLINK("http://www.intercariforef.org/formations/certification-86219.html","86219")</f>
        <v>86219</v>
      </c>
      <c r="F453" s="3">
        <v>42320</v>
      </c>
      <c r="G453" s="3">
        <v>42320</v>
      </c>
    </row>
    <row r="454" spans="1:7" x14ac:dyDescent="0.3">
      <c r="A454" s="1" t="s">
        <v>633</v>
      </c>
      <c r="B454" s="1" t="s">
        <v>642</v>
      </c>
      <c r="C454" s="1" t="s">
        <v>331</v>
      </c>
      <c r="D454" s="2" t="str">
        <f>HYPERLINK("https://inventaire.cncp.gouv.fr/fiches/2907/","2907")</f>
        <v>2907</v>
      </c>
      <c r="E454" s="2" t="str">
        <f>HYPERLINK("http://www.intercariforef.org/formations/certification-98631.html","98631")</f>
        <v>98631</v>
      </c>
      <c r="F454" s="3">
        <v>43038</v>
      </c>
      <c r="G454" s="3">
        <v>43038</v>
      </c>
    </row>
    <row r="455" spans="1:7" x14ac:dyDescent="0.3">
      <c r="A455" s="1" t="s">
        <v>633</v>
      </c>
      <c r="B455" s="1" t="s">
        <v>643</v>
      </c>
      <c r="C455" s="1" t="s">
        <v>604</v>
      </c>
      <c r="D455" s="2" t="str">
        <f>HYPERLINK("https://inventaire.cncp.gouv.fr/fiches/1828/","1828")</f>
        <v>1828</v>
      </c>
      <c r="E455" s="2" t="str">
        <f>HYPERLINK("http://www.intercariforef.org/formations/certification-88389.html","88389")</f>
        <v>88389</v>
      </c>
      <c r="F455" s="3">
        <v>42461</v>
      </c>
      <c r="G455" s="3">
        <v>42461</v>
      </c>
    </row>
    <row r="456" spans="1:7" x14ac:dyDescent="0.3">
      <c r="A456" s="1" t="s">
        <v>633</v>
      </c>
      <c r="B456" s="1" t="s">
        <v>644</v>
      </c>
      <c r="C456" s="1" t="s">
        <v>604</v>
      </c>
      <c r="D456" s="2" t="str">
        <f>HYPERLINK("https://inventaire.cncp.gouv.fr/fiches/1845/","1845")</f>
        <v>1845</v>
      </c>
      <c r="E456" s="2" t="str">
        <f>HYPERLINK("http://www.intercariforef.org/formations/certification-88469.html","88469")</f>
        <v>88469</v>
      </c>
      <c r="F456" s="3">
        <v>42464</v>
      </c>
      <c r="G456" s="3">
        <v>42464</v>
      </c>
    </row>
    <row r="457" spans="1:7" ht="26.2" x14ac:dyDescent="0.3">
      <c r="A457" s="1" t="s">
        <v>633</v>
      </c>
      <c r="B457" s="1" t="s">
        <v>645</v>
      </c>
      <c r="C457" s="1" t="s">
        <v>70</v>
      </c>
      <c r="D457" s="2" t="str">
        <f>HYPERLINK("https://inventaire.cncp.gouv.fr/fiches/733/","733")</f>
        <v>733</v>
      </c>
      <c r="E457" s="2" t="str">
        <f>HYPERLINK("http://www.intercariforef.org/formations/certification-84697.html","84697")</f>
        <v>84697</v>
      </c>
      <c r="F457" s="3">
        <v>42156</v>
      </c>
      <c r="G457" s="3">
        <v>43111</v>
      </c>
    </row>
    <row r="458" spans="1:7" x14ac:dyDescent="0.3">
      <c r="A458" s="1" t="s">
        <v>633</v>
      </c>
      <c r="B458" s="1" t="s">
        <v>646</v>
      </c>
      <c r="C458" s="1" t="s">
        <v>604</v>
      </c>
      <c r="D458" s="2" t="str">
        <f>HYPERLINK("https://inventaire.cncp.gouv.fr/fiches/1842/","1842")</f>
        <v>1842</v>
      </c>
      <c r="E458" s="2" t="str">
        <f>HYPERLINK("http://www.intercariforef.org/formations/certification-88391.html","88391")</f>
        <v>88391</v>
      </c>
      <c r="F458" s="3">
        <v>42461</v>
      </c>
      <c r="G458" s="3">
        <v>42461</v>
      </c>
    </row>
    <row r="459" spans="1:7" x14ac:dyDescent="0.3">
      <c r="A459" s="1" t="s">
        <v>647</v>
      </c>
      <c r="B459" s="1" t="s">
        <v>648</v>
      </c>
      <c r="C459" s="1" t="s">
        <v>241</v>
      </c>
      <c r="D459" s="2" t="str">
        <f>HYPERLINK("https://inventaire.cncp.gouv.fr/fiches/2773/","2773")</f>
        <v>2773</v>
      </c>
      <c r="E459" s="2" t="str">
        <f>HYPERLINK("http://www.intercariforef.org/formations/certification-95645.html","95645")</f>
        <v>95645</v>
      </c>
      <c r="F459" s="3">
        <v>42893</v>
      </c>
      <c r="G459" s="3">
        <v>42893</v>
      </c>
    </row>
    <row r="460" spans="1:7" x14ac:dyDescent="0.3">
      <c r="A460" s="1" t="s">
        <v>647</v>
      </c>
      <c r="B460" s="1" t="s">
        <v>649</v>
      </c>
      <c r="C460" s="1" t="s">
        <v>407</v>
      </c>
      <c r="D460" s="2" t="str">
        <f>HYPERLINK("https://inventaire.cncp.gouv.fr/fiches/2318/","2318")</f>
        <v>2318</v>
      </c>
      <c r="E460" s="2" t="str">
        <f>HYPERLINK("http://www.intercariforef.org/formations/certification-94787.html","94787")</f>
        <v>94787</v>
      </c>
      <c r="F460" s="3">
        <v>42835</v>
      </c>
      <c r="G460" s="3">
        <v>42836</v>
      </c>
    </row>
    <row r="461" spans="1:7" x14ac:dyDescent="0.3">
      <c r="A461" s="1" t="s">
        <v>647</v>
      </c>
      <c r="B461" s="1" t="s">
        <v>650</v>
      </c>
      <c r="C461" s="1" t="s">
        <v>651</v>
      </c>
      <c r="D461" s="2" t="str">
        <f>HYPERLINK("https://inventaire.cncp.gouv.fr/fiches/2291/","2291")</f>
        <v>2291</v>
      </c>
      <c r="E461" s="2" t="str">
        <f>HYPERLINK("http://www.intercariforef.org/formations/certification-93985.html","93985")</f>
        <v>93985</v>
      </c>
      <c r="F461" s="3">
        <v>42745</v>
      </c>
      <c r="G461" s="3">
        <v>42745</v>
      </c>
    </row>
    <row r="462" spans="1:7" x14ac:dyDescent="0.3">
      <c r="A462" s="1" t="s">
        <v>647</v>
      </c>
      <c r="B462" s="1" t="s">
        <v>652</v>
      </c>
      <c r="C462" s="1" t="s">
        <v>653</v>
      </c>
      <c r="D462" s="2" t="str">
        <f>HYPERLINK("https://inventaire.cncp.gouv.fr/fiches/3174/","3174")</f>
        <v>3174</v>
      </c>
      <c r="E462" s="2" t="str">
        <f>HYPERLINK("http://www.intercariforef.org/formations/certification-100125.html","100125")</f>
        <v>100125</v>
      </c>
      <c r="F462" s="3">
        <v>43153</v>
      </c>
      <c r="G462" s="3">
        <v>43153</v>
      </c>
    </row>
    <row r="463" spans="1:7" x14ac:dyDescent="0.3">
      <c r="A463" s="1" t="s">
        <v>647</v>
      </c>
      <c r="B463" s="1" t="s">
        <v>654</v>
      </c>
      <c r="C463" s="1" t="s">
        <v>655</v>
      </c>
      <c r="D463" s="2" t="str">
        <f>HYPERLINK("https://inventaire.cncp.gouv.fr/fiches/2929/","2929")</f>
        <v>2929</v>
      </c>
      <c r="E463" s="2" t="str">
        <f>HYPERLINK("http://www.intercariforef.org/formations/certification-96535.html","96535")</f>
        <v>96535</v>
      </c>
      <c r="F463" s="3">
        <v>42928</v>
      </c>
      <c r="G463" s="3">
        <v>42928</v>
      </c>
    </row>
    <row r="464" spans="1:7" x14ac:dyDescent="0.3">
      <c r="A464" s="1" t="s">
        <v>647</v>
      </c>
      <c r="B464" s="1" t="s">
        <v>656</v>
      </c>
      <c r="C464" s="1" t="s">
        <v>657</v>
      </c>
      <c r="D464" s="2" t="str">
        <f>HYPERLINK("https://inventaire.cncp.gouv.fr/fiches/583/","583")</f>
        <v>583</v>
      </c>
      <c r="E464" s="2" t="str">
        <f>HYPERLINK("http://www.intercariforef.org/formations/certification-86487.html","86487")</f>
        <v>86487</v>
      </c>
      <c r="F464" s="3">
        <v>42345</v>
      </c>
      <c r="G464" s="3">
        <v>42345</v>
      </c>
    </row>
    <row r="465" spans="1:7" x14ac:dyDescent="0.3">
      <c r="A465" s="1" t="s">
        <v>647</v>
      </c>
      <c r="B465" s="1" t="s">
        <v>658</v>
      </c>
      <c r="C465" s="1" t="s">
        <v>655</v>
      </c>
      <c r="D465" s="2" t="str">
        <f>HYPERLINK("https://inventaire.cncp.gouv.fr/fiches/2954/","2954")</f>
        <v>2954</v>
      </c>
      <c r="E465" s="2" t="str">
        <f>HYPERLINK("http://www.intercariforef.org/formations/certification-96525.html","96525")</f>
        <v>96525</v>
      </c>
      <c r="F465" s="3">
        <v>42928</v>
      </c>
      <c r="G465" s="3">
        <v>42928</v>
      </c>
    </row>
    <row r="466" spans="1:7" x14ac:dyDescent="0.3">
      <c r="A466" s="1" t="s">
        <v>647</v>
      </c>
      <c r="B466" s="1" t="s">
        <v>659</v>
      </c>
      <c r="C466" s="1" t="s">
        <v>660</v>
      </c>
      <c r="D466" s="2" t="str">
        <f>HYPERLINK("https://inventaire.cncp.gouv.fr/fiches/92/","92")</f>
        <v>92</v>
      </c>
      <c r="E466" s="2" t="str">
        <f>HYPERLINK("http://www.intercariforef.org/formations/certification-84696.html","84696")</f>
        <v>84696</v>
      </c>
      <c r="F466" s="3">
        <v>42156</v>
      </c>
      <c r="G466" s="3">
        <v>42156</v>
      </c>
    </row>
    <row r="467" spans="1:7" x14ac:dyDescent="0.3">
      <c r="A467" s="1" t="s">
        <v>647</v>
      </c>
      <c r="B467" s="1" t="s">
        <v>661</v>
      </c>
      <c r="C467" s="1" t="s">
        <v>377</v>
      </c>
      <c r="D467" s="2" t="str">
        <f>HYPERLINK("https://inventaire.cncp.gouv.fr/fiches/115/","115")</f>
        <v>115</v>
      </c>
      <c r="E467" s="2" t="str">
        <f>HYPERLINK("http://www.intercariforef.org/formations/certification-85535.html","85535")</f>
        <v>85535</v>
      </c>
      <c r="F467" s="3">
        <v>42269</v>
      </c>
      <c r="G467" s="3">
        <v>43293</v>
      </c>
    </row>
    <row r="468" spans="1:7" ht="26.2" x14ac:dyDescent="0.3">
      <c r="A468" s="1" t="s">
        <v>647</v>
      </c>
      <c r="B468" s="1" t="s">
        <v>662</v>
      </c>
      <c r="C468" s="1" t="s">
        <v>377</v>
      </c>
      <c r="D468" s="2" t="str">
        <f>HYPERLINK("https://inventaire.cncp.gouv.fr/fiches/3808/","3808")</f>
        <v>3808</v>
      </c>
      <c r="E468" s="2" t="str">
        <f>HYPERLINK("http://www.intercariforef.org/formations/certification-102167.html","102167")</f>
        <v>102167</v>
      </c>
      <c r="F468" s="3">
        <v>43293</v>
      </c>
      <c r="G468" s="3">
        <v>43293</v>
      </c>
    </row>
    <row r="469" spans="1:7" ht="26.2" x14ac:dyDescent="0.3">
      <c r="A469" s="1" t="s">
        <v>647</v>
      </c>
      <c r="B469" s="1" t="s">
        <v>663</v>
      </c>
      <c r="C469" s="1" t="s">
        <v>377</v>
      </c>
      <c r="D469" s="2" t="str">
        <f>HYPERLINK("https://inventaire.cncp.gouv.fr/fiches/3810/","3810")</f>
        <v>3810</v>
      </c>
      <c r="E469" s="2" t="str">
        <f>HYPERLINK("http://www.intercariforef.org/formations/certification-102163.html","102163")</f>
        <v>102163</v>
      </c>
      <c r="F469" s="3">
        <v>43293</v>
      </c>
      <c r="G469" s="3">
        <v>43293</v>
      </c>
    </row>
    <row r="470" spans="1:7" x14ac:dyDescent="0.3">
      <c r="A470" s="1" t="s">
        <v>647</v>
      </c>
      <c r="B470" s="1" t="s">
        <v>664</v>
      </c>
      <c r="C470" s="1" t="s">
        <v>665</v>
      </c>
      <c r="D470" s="2" t="str">
        <f>HYPERLINK("https://inventaire.cncp.gouv.fr/fiches/3065/","3065")</f>
        <v>3065</v>
      </c>
      <c r="E470" s="2" t="str">
        <f>HYPERLINK("http://www.intercariforef.org/formations/certification-100167.html","100167")</f>
        <v>100167</v>
      </c>
      <c r="F470" s="3">
        <v>43154</v>
      </c>
      <c r="G470" s="3">
        <v>43154</v>
      </c>
    </row>
    <row r="471" spans="1:7" ht="26.2" x14ac:dyDescent="0.3">
      <c r="A471" s="1" t="s">
        <v>647</v>
      </c>
      <c r="B471" s="1" t="s">
        <v>666</v>
      </c>
      <c r="C471" s="1" t="s">
        <v>392</v>
      </c>
      <c r="D471" s="2" t="str">
        <f>HYPERLINK("https://inventaire.cncp.gouv.fr/fiches/2431/","2431")</f>
        <v>2431</v>
      </c>
      <c r="E471" s="2" t="str">
        <f>HYPERLINK("http://www.intercariforef.org/formations/certification-94943.html","94943")</f>
        <v>94943</v>
      </c>
      <c r="F471" s="3">
        <v>42837</v>
      </c>
      <c r="G471" s="3">
        <v>42837</v>
      </c>
    </row>
    <row r="472" spans="1:7" x14ac:dyDescent="0.3">
      <c r="A472" s="1" t="s">
        <v>647</v>
      </c>
      <c r="B472" s="1" t="s">
        <v>667</v>
      </c>
      <c r="C472" s="1" t="s">
        <v>668</v>
      </c>
      <c r="D472" s="2" t="str">
        <f>HYPERLINK("https://inventaire.cncp.gouv.fr/fiches/2269/","2269")</f>
        <v>2269</v>
      </c>
      <c r="E472" s="2" t="str">
        <f>HYPERLINK("http://www.intercariforef.org/formations/certification-92121.html","92121")</f>
        <v>92121</v>
      </c>
      <c r="F472" s="3">
        <v>42667</v>
      </c>
      <c r="G472" s="3">
        <v>42667</v>
      </c>
    </row>
    <row r="473" spans="1:7" x14ac:dyDescent="0.3">
      <c r="A473" s="1" t="s">
        <v>647</v>
      </c>
      <c r="B473" s="1" t="s">
        <v>669</v>
      </c>
      <c r="C473" s="1" t="s">
        <v>670</v>
      </c>
      <c r="D473" s="2" t="str">
        <f>HYPERLINK("https://inventaire.cncp.gouv.fr/fiches/1744/","1744")</f>
        <v>1744</v>
      </c>
      <c r="E473" s="2" t="str">
        <f>HYPERLINK("http://www.intercariforef.org/formations/certification-90019.html","90019")</f>
        <v>90019</v>
      </c>
      <c r="F473" s="3">
        <v>42558</v>
      </c>
      <c r="G473" s="3">
        <v>42558</v>
      </c>
    </row>
    <row r="474" spans="1:7" x14ac:dyDescent="0.3">
      <c r="A474" s="1" t="s">
        <v>647</v>
      </c>
      <c r="B474" s="1" t="s">
        <v>671</v>
      </c>
      <c r="C474" s="1" t="s">
        <v>436</v>
      </c>
      <c r="D474" s="2" t="str">
        <f>HYPERLINK("https://inventaire.cncp.gouv.fr/fiches/2424/","2424")</f>
        <v>2424</v>
      </c>
      <c r="E474" s="2" t="str">
        <f>HYPERLINK("http://www.intercariforef.org/formations/certification-94815.html","94815")</f>
        <v>94815</v>
      </c>
      <c r="F474" s="3">
        <v>42836</v>
      </c>
      <c r="G474" s="3">
        <v>42836</v>
      </c>
    </row>
    <row r="475" spans="1:7" ht="26.2" x14ac:dyDescent="0.3">
      <c r="A475" s="1" t="s">
        <v>647</v>
      </c>
      <c r="B475" s="1" t="s">
        <v>672</v>
      </c>
      <c r="C475" s="1" t="s">
        <v>673</v>
      </c>
      <c r="D475" s="2" t="str">
        <f>HYPERLINK("https://inventaire.cncp.gouv.fr/fiches/3831/","3831")</f>
        <v>3831</v>
      </c>
      <c r="E475" s="2" t="str">
        <f>HYPERLINK("http://www.intercariforef.org/formations/certification-104145.html","104145")</f>
        <v>104145</v>
      </c>
      <c r="F475" s="3">
        <v>43398</v>
      </c>
      <c r="G475" s="3">
        <v>43398</v>
      </c>
    </row>
    <row r="476" spans="1:7" x14ac:dyDescent="0.3">
      <c r="A476" s="1" t="s">
        <v>647</v>
      </c>
      <c r="B476" s="1" t="s">
        <v>674</v>
      </c>
      <c r="C476" s="1" t="s">
        <v>675</v>
      </c>
      <c r="D476" s="2" t="str">
        <f>HYPERLINK("https://inventaire.cncp.gouv.fr/fiches/3400/","3400")</f>
        <v>3400</v>
      </c>
      <c r="E476" s="2" t="str">
        <f>HYPERLINK("http://www.intercariforef.org/formations/certification-100171.html","100171")</f>
        <v>100171</v>
      </c>
      <c r="F476" s="3">
        <v>43154</v>
      </c>
      <c r="G476" s="3">
        <v>43154</v>
      </c>
    </row>
    <row r="477" spans="1:7" x14ac:dyDescent="0.3">
      <c r="A477" s="1" t="s">
        <v>647</v>
      </c>
      <c r="B477" s="1" t="s">
        <v>676</v>
      </c>
      <c r="C477" s="1" t="s">
        <v>673</v>
      </c>
      <c r="D477" s="2" t="str">
        <f>HYPERLINK("https://inventaire.cncp.gouv.fr/fiches/3829/","3829")</f>
        <v>3829</v>
      </c>
      <c r="E477" s="2" t="str">
        <f>HYPERLINK("http://www.intercariforef.org/formations/certification-104147.html","104147")</f>
        <v>104147</v>
      </c>
      <c r="F477" s="3">
        <v>43398</v>
      </c>
      <c r="G477" s="3">
        <v>43398</v>
      </c>
    </row>
    <row r="478" spans="1:7" x14ac:dyDescent="0.3">
      <c r="A478" s="1" t="s">
        <v>647</v>
      </c>
      <c r="B478" s="1" t="s">
        <v>677</v>
      </c>
      <c r="C478" s="1" t="s">
        <v>678</v>
      </c>
      <c r="D478" s="2" t="str">
        <f>HYPERLINK("https://inventaire.cncp.gouv.fr/fiches/2450/","2450")</f>
        <v>2450</v>
      </c>
      <c r="E478" s="2" t="str">
        <f>HYPERLINK("http://www.intercariforef.org/formations/certification-93853.html","93853")</f>
        <v>93853</v>
      </c>
      <c r="F478" s="3">
        <v>42744</v>
      </c>
      <c r="G478" s="3">
        <v>42744</v>
      </c>
    </row>
    <row r="479" spans="1:7" x14ac:dyDescent="0.3">
      <c r="A479" s="1" t="s">
        <v>647</v>
      </c>
      <c r="B479" s="1" t="s">
        <v>679</v>
      </c>
      <c r="C479" s="1" t="s">
        <v>470</v>
      </c>
      <c r="D479" s="2" t="str">
        <f>HYPERLINK("https://inventaire.cncp.gouv.fr/fiches/3045/","3045")</f>
        <v>3045</v>
      </c>
      <c r="E479" s="2" t="str">
        <f>HYPERLINK("http://www.intercariforef.org/formations/certification-96473.html","96473")</f>
        <v>96473</v>
      </c>
      <c r="F479" s="3">
        <v>42928</v>
      </c>
      <c r="G479" s="3">
        <v>42928</v>
      </c>
    </row>
    <row r="480" spans="1:7" x14ac:dyDescent="0.3">
      <c r="A480" s="1" t="s">
        <v>647</v>
      </c>
      <c r="B480" s="1" t="s">
        <v>680</v>
      </c>
      <c r="C480" s="1" t="s">
        <v>470</v>
      </c>
      <c r="D480" s="2" t="str">
        <f>HYPERLINK("https://inventaire.cncp.gouv.fr/fiches/3047/","3047")</f>
        <v>3047</v>
      </c>
      <c r="E480" s="2" t="str">
        <f>HYPERLINK("http://www.intercariforef.org/formations/certification-96467.html","96467")</f>
        <v>96467</v>
      </c>
      <c r="F480" s="3">
        <v>42928</v>
      </c>
      <c r="G480" s="3">
        <v>42928</v>
      </c>
    </row>
    <row r="481" spans="1:7" x14ac:dyDescent="0.3">
      <c r="A481" s="1" t="s">
        <v>647</v>
      </c>
      <c r="B481" s="1" t="s">
        <v>681</v>
      </c>
      <c r="C481" s="1" t="s">
        <v>682</v>
      </c>
      <c r="D481" s="2" t="str">
        <f>HYPERLINK("https://inventaire.cncp.gouv.fr/fiches/2684/","2684")</f>
        <v>2684</v>
      </c>
      <c r="E481" s="2" t="str">
        <f>HYPERLINK("http://www.intercariforef.org/formations/certification-95647.html","95647")</f>
        <v>95647</v>
      </c>
      <c r="F481" s="3">
        <v>42893</v>
      </c>
      <c r="G481" s="3">
        <v>42893</v>
      </c>
    </row>
    <row r="482" spans="1:7" x14ac:dyDescent="0.3">
      <c r="A482" s="1" t="s">
        <v>647</v>
      </c>
      <c r="B482" s="1" t="s">
        <v>683</v>
      </c>
      <c r="C482" s="1" t="s">
        <v>407</v>
      </c>
      <c r="D482" s="2" t="str">
        <f>HYPERLINK("https://inventaire.cncp.gouv.fr/fiches/2322/","2322")</f>
        <v>2322</v>
      </c>
      <c r="E482" s="2" t="str">
        <f>HYPERLINK("http://www.intercariforef.org/formations/certification-94785.html","94785")</f>
        <v>94785</v>
      </c>
      <c r="F482" s="3">
        <v>42835</v>
      </c>
      <c r="G482" s="3">
        <v>42836</v>
      </c>
    </row>
    <row r="483" spans="1:7" x14ac:dyDescent="0.3">
      <c r="A483" s="1" t="s">
        <v>647</v>
      </c>
      <c r="B483" s="1" t="s">
        <v>684</v>
      </c>
      <c r="C483" s="1" t="s">
        <v>426</v>
      </c>
      <c r="D483" s="2" t="str">
        <f>HYPERLINK("https://inventaire.cncp.gouv.fr/fiches/1640/","1640")</f>
        <v>1640</v>
      </c>
      <c r="E483" s="2" t="str">
        <f>HYPERLINK("http://www.intercariforef.org/formations/certification-93907.html","93907")</f>
        <v>93907</v>
      </c>
      <c r="F483" s="3">
        <v>42744</v>
      </c>
      <c r="G483" s="3">
        <v>42744</v>
      </c>
    </row>
    <row r="484" spans="1:7" x14ac:dyDescent="0.3">
      <c r="A484" s="1" t="s">
        <v>647</v>
      </c>
      <c r="B484" s="1" t="s">
        <v>685</v>
      </c>
      <c r="C484" s="1" t="s">
        <v>413</v>
      </c>
      <c r="D484" s="2" t="str">
        <f>HYPERLINK("https://inventaire.cncp.gouv.fr/fiches/3533/","3533")</f>
        <v>3533</v>
      </c>
      <c r="E484" s="2" t="str">
        <f>HYPERLINK("http://www.intercariforef.org/formations/certification-102629.html","102629")</f>
        <v>102629</v>
      </c>
      <c r="F484" s="3">
        <v>43299</v>
      </c>
      <c r="G484" s="3">
        <v>43299</v>
      </c>
    </row>
    <row r="485" spans="1:7" x14ac:dyDescent="0.3">
      <c r="A485" s="1" t="s">
        <v>647</v>
      </c>
      <c r="B485" s="1" t="s">
        <v>686</v>
      </c>
      <c r="C485" s="1" t="s">
        <v>687</v>
      </c>
      <c r="D485" s="2" t="str">
        <f>HYPERLINK("https://inventaire.cncp.gouv.fr/fiches/2047/","2047")</f>
        <v>2047</v>
      </c>
      <c r="E485" s="2" t="str">
        <f>HYPERLINK("http://www.intercariforef.org/formations/certification-89251.html","89251")</f>
        <v>89251</v>
      </c>
      <c r="F485" s="3">
        <v>42522</v>
      </c>
      <c r="G485" s="3">
        <v>42522</v>
      </c>
    </row>
    <row r="486" spans="1:7" x14ac:dyDescent="0.3">
      <c r="A486" s="1" t="s">
        <v>647</v>
      </c>
      <c r="B486" s="1" t="s">
        <v>688</v>
      </c>
      <c r="C486" s="1" t="s">
        <v>689</v>
      </c>
      <c r="D486" s="2" t="str">
        <f>HYPERLINK("https://inventaire.cncp.gouv.fr/fiches/3195/","3195")</f>
        <v>3195</v>
      </c>
      <c r="E486" s="2" t="str">
        <f>HYPERLINK("http://www.intercariforef.org/formations/certification-100185.html","100185")</f>
        <v>100185</v>
      </c>
      <c r="F486" s="3">
        <v>43154</v>
      </c>
      <c r="G486" s="3">
        <v>43154</v>
      </c>
    </row>
    <row r="487" spans="1:7" x14ac:dyDescent="0.3">
      <c r="A487" s="1" t="s">
        <v>647</v>
      </c>
      <c r="B487" s="1" t="s">
        <v>690</v>
      </c>
      <c r="C487" s="1" t="s">
        <v>689</v>
      </c>
      <c r="D487" s="2" t="str">
        <f>HYPERLINK("https://inventaire.cncp.gouv.fr/fiches/3066/","3066")</f>
        <v>3066</v>
      </c>
      <c r="E487" s="2" t="str">
        <f>HYPERLINK("http://www.intercariforef.org/formations/certification-100191.html","100191")</f>
        <v>100191</v>
      </c>
      <c r="F487" s="3">
        <v>43154</v>
      </c>
      <c r="G487" s="3">
        <v>43154</v>
      </c>
    </row>
    <row r="488" spans="1:7" x14ac:dyDescent="0.3">
      <c r="A488" s="1" t="s">
        <v>647</v>
      </c>
      <c r="B488" s="1" t="s">
        <v>691</v>
      </c>
      <c r="C488" s="1" t="s">
        <v>422</v>
      </c>
      <c r="D488" s="2" t="str">
        <f>HYPERLINK("https://inventaire.cncp.gouv.fr/fiches/3423/","3423")</f>
        <v>3423</v>
      </c>
      <c r="E488" s="2" t="str">
        <f>HYPERLINK("http://www.intercariforef.org/formations/certification-100663.html","100663")</f>
        <v>100663</v>
      </c>
      <c r="F488" s="3">
        <v>43194</v>
      </c>
      <c r="G488" s="3">
        <v>43194</v>
      </c>
    </row>
    <row r="489" spans="1:7" x14ac:dyDescent="0.3">
      <c r="A489" s="1" t="s">
        <v>647</v>
      </c>
      <c r="B489" s="1" t="s">
        <v>692</v>
      </c>
      <c r="C489" s="1" t="s">
        <v>693</v>
      </c>
      <c r="D489" s="2" t="str">
        <f>HYPERLINK("https://inventaire.cncp.gouv.fr/fiches/1691/","1691")</f>
        <v>1691</v>
      </c>
      <c r="E489" s="2" t="str">
        <f>HYPERLINK("http://www.intercariforef.org/formations/certification-87687.html","87687")</f>
        <v>87687</v>
      </c>
      <c r="F489" s="3">
        <v>42418</v>
      </c>
      <c r="G489" s="3">
        <v>42418</v>
      </c>
    </row>
    <row r="490" spans="1:7" x14ac:dyDescent="0.3">
      <c r="A490" s="1" t="s">
        <v>647</v>
      </c>
      <c r="B490" s="1" t="s">
        <v>694</v>
      </c>
      <c r="C490" s="1" t="s">
        <v>208</v>
      </c>
      <c r="D490" s="2" t="str">
        <f>HYPERLINK("https://inventaire.cncp.gouv.fr/fiches/3512/","3512")</f>
        <v>3512</v>
      </c>
      <c r="E490" s="2" t="str">
        <f>HYPERLINK("http://www.intercariforef.org/formations/certification-103969.html","103969")</f>
        <v>103969</v>
      </c>
      <c r="F490" s="3">
        <v>43391</v>
      </c>
      <c r="G490" s="3">
        <v>43391</v>
      </c>
    </row>
    <row r="491" spans="1:7" x14ac:dyDescent="0.3">
      <c r="A491" s="1" t="s">
        <v>647</v>
      </c>
      <c r="B491" s="1" t="s">
        <v>695</v>
      </c>
      <c r="C491" s="1" t="s">
        <v>241</v>
      </c>
      <c r="D491" s="2" t="str">
        <f>HYPERLINK("https://inventaire.cncp.gouv.fr/fiches/2620/","2620")</f>
        <v>2620</v>
      </c>
      <c r="E491" s="2" t="str">
        <f>HYPERLINK("http://www.intercariforef.org/formations/certification-95651.html","95651")</f>
        <v>95651</v>
      </c>
      <c r="F491" s="3">
        <v>42893</v>
      </c>
      <c r="G491" s="3">
        <v>42893</v>
      </c>
    </row>
    <row r="492" spans="1:7" x14ac:dyDescent="0.3">
      <c r="A492" s="1" t="s">
        <v>647</v>
      </c>
      <c r="B492" s="1" t="s">
        <v>696</v>
      </c>
      <c r="C492" s="1" t="s">
        <v>422</v>
      </c>
      <c r="D492" s="2" t="str">
        <f>HYPERLINK("https://inventaire.cncp.gouv.fr/fiches/3425/","3425")</f>
        <v>3425</v>
      </c>
      <c r="E492" s="2" t="str">
        <f>HYPERLINK("http://www.intercariforef.org/formations/certification-100659.html","100659")</f>
        <v>100659</v>
      </c>
      <c r="F492" s="3">
        <v>43194</v>
      </c>
      <c r="G492" s="3">
        <v>43194</v>
      </c>
    </row>
    <row r="493" spans="1:7" x14ac:dyDescent="0.3">
      <c r="A493" s="1" t="s">
        <v>647</v>
      </c>
      <c r="B493" s="1" t="s">
        <v>697</v>
      </c>
      <c r="C493" s="1" t="s">
        <v>698</v>
      </c>
      <c r="D493" s="2" t="str">
        <f>HYPERLINK("https://inventaire.cncp.gouv.fr/fiches/1689/","1689")</f>
        <v>1689</v>
      </c>
      <c r="E493" s="2" t="str">
        <f>HYPERLINK("http://www.intercariforef.org/formations/certification-89165.html","89165")</f>
        <v>89165</v>
      </c>
      <c r="F493" s="3">
        <v>42521</v>
      </c>
      <c r="G493" s="3">
        <v>43173</v>
      </c>
    </row>
    <row r="494" spans="1:7" x14ac:dyDescent="0.3">
      <c r="A494" s="1" t="s">
        <v>647</v>
      </c>
      <c r="B494" s="1" t="s">
        <v>699</v>
      </c>
      <c r="C494" s="1" t="s">
        <v>698</v>
      </c>
      <c r="D494" s="2" t="str">
        <f>HYPERLINK("https://inventaire.cncp.gouv.fr/fiches/2356/","2356")</f>
        <v>2356</v>
      </c>
      <c r="E494" s="2" t="str">
        <f>HYPERLINK("http://www.intercariforef.org/formations/certification-94967.html","94967")</f>
        <v>94967</v>
      </c>
      <c r="F494" s="3">
        <v>42838</v>
      </c>
      <c r="G494" s="3">
        <v>42877</v>
      </c>
    </row>
    <row r="495" spans="1:7" x14ac:dyDescent="0.3">
      <c r="A495" s="1" t="s">
        <v>647</v>
      </c>
      <c r="B495" s="1" t="s">
        <v>700</v>
      </c>
      <c r="C495" s="1" t="s">
        <v>407</v>
      </c>
      <c r="D495" s="2" t="str">
        <f>HYPERLINK("https://inventaire.cncp.gouv.fr/fiches/1345/","1345")</f>
        <v>1345</v>
      </c>
      <c r="E495" s="2" t="str">
        <f>HYPERLINK("http://www.intercariforef.org/formations/certification-86428.html","86428")</f>
        <v>86428</v>
      </c>
      <c r="F495" s="3">
        <v>42341</v>
      </c>
      <c r="G495" s="3">
        <v>42341</v>
      </c>
    </row>
    <row r="496" spans="1:7" x14ac:dyDescent="0.3">
      <c r="A496" s="1" t="s">
        <v>647</v>
      </c>
      <c r="B496" s="1" t="s">
        <v>701</v>
      </c>
      <c r="C496" s="1" t="s">
        <v>470</v>
      </c>
      <c r="D496" s="2" t="str">
        <f>HYPERLINK("https://inventaire.cncp.gouv.fr/fiches/3046/","3046")</f>
        <v>3046</v>
      </c>
      <c r="E496" s="2" t="str">
        <f>HYPERLINK("http://www.intercariforef.org/formations/certification-96469.html","96469")</f>
        <v>96469</v>
      </c>
      <c r="F496" s="3">
        <v>42928</v>
      </c>
      <c r="G496" s="3">
        <v>42928</v>
      </c>
    </row>
    <row r="497" spans="1:7" x14ac:dyDescent="0.3">
      <c r="A497" s="1" t="s">
        <v>647</v>
      </c>
      <c r="B497" s="1" t="s">
        <v>702</v>
      </c>
      <c r="C497" s="1" t="s">
        <v>703</v>
      </c>
      <c r="D497" s="2" t="str">
        <f>HYPERLINK("https://inventaire.cncp.gouv.fr/fiches/3399/","3399")</f>
        <v>3399</v>
      </c>
      <c r="E497" s="2" t="str">
        <f>HYPERLINK("http://www.intercariforef.org/formations/certification-100011.html","100011")</f>
        <v>100011</v>
      </c>
      <c r="F497" s="3">
        <v>43151</v>
      </c>
      <c r="G497" s="3">
        <v>43151</v>
      </c>
    </row>
    <row r="498" spans="1:7" x14ac:dyDescent="0.3">
      <c r="A498" s="1" t="s">
        <v>647</v>
      </c>
      <c r="B498" s="1" t="s">
        <v>704</v>
      </c>
      <c r="C498" s="1" t="s">
        <v>407</v>
      </c>
      <c r="D498" s="2" t="str">
        <f>HYPERLINK("https://inventaire.cncp.gouv.fr/fiches/1351/","1351")</f>
        <v>1351</v>
      </c>
      <c r="E498" s="2" t="str">
        <f>HYPERLINK("http://www.intercariforef.org/formations/certification-86444.html","86444")</f>
        <v>86444</v>
      </c>
      <c r="F498" s="3">
        <v>42341</v>
      </c>
      <c r="G498" s="3">
        <v>42398</v>
      </c>
    </row>
    <row r="499" spans="1:7" x14ac:dyDescent="0.3">
      <c r="A499" s="1" t="s">
        <v>647</v>
      </c>
      <c r="B499" s="1" t="s">
        <v>705</v>
      </c>
      <c r="C499" s="1" t="s">
        <v>407</v>
      </c>
      <c r="D499" s="2" t="str">
        <f>HYPERLINK("https://inventaire.cncp.gouv.fr/fiches/1349/","1349")</f>
        <v>1349</v>
      </c>
      <c r="E499" s="2" t="str">
        <f>HYPERLINK("http://www.intercariforef.org/formations/certification-86442.html","86442")</f>
        <v>86442</v>
      </c>
      <c r="F499" s="3">
        <v>42341</v>
      </c>
      <c r="G499" s="3">
        <v>42398</v>
      </c>
    </row>
    <row r="500" spans="1:7" x14ac:dyDescent="0.3">
      <c r="A500" s="1" t="s">
        <v>647</v>
      </c>
      <c r="B500" s="1" t="s">
        <v>706</v>
      </c>
      <c r="C500" s="1" t="s">
        <v>707</v>
      </c>
      <c r="D500" s="2" t="str">
        <f>HYPERLINK("https://inventaire.cncp.gouv.fr/fiches/2230/","2230")</f>
        <v>2230</v>
      </c>
      <c r="E500" s="2" t="str">
        <f>HYPERLINK("http://www.intercariforef.org/formations/certification-94007.html","94007")</f>
        <v>94007</v>
      </c>
      <c r="F500" s="3">
        <v>42745</v>
      </c>
      <c r="G500" s="3">
        <v>42745</v>
      </c>
    </row>
    <row r="501" spans="1:7" x14ac:dyDescent="0.3">
      <c r="A501" s="1" t="s">
        <v>647</v>
      </c>
      <c r="B501" s="1" t="s">
        <v>708</v>
      </c>
      <c r="C501" s="1" t="s">
        <v>709</v>
      </c>
      <c r="D501" s="2" t="str">
        <f>HYPERLINK("https://inventaire.cncp.gouv.fr/fiches/3501/","3501")</f>
        <v>3501</v>
      </c>
      <c r="E501" s="2" t="str">
        <f>HYPERLINK("http://www.intercariforef.org/formations/certification-100635.html","100635")</f>
        <v>100635</v>
      </c>
      <c r="F501" s="3">
        <v>43193</v>
      </c>
      <c r="G501" s="3">
        <v>43193</v>
      </c>
    </row>
    <row r="502" spans="1:7" x14ac:dyDescent="0.3">
      <c r="A502" s="1" t="s">
        <v>647</v>
      </c>
      <c r="B502" s="1" t="s">
        <v>710</v>
      </c>
      <c r="C502" s="1" t="s">
        <v>709</v>
      </c>
      <c r="D502" s="2" t="str">
        <f>HYPERLINK("https://inventaire.cncp.gouv.fr/fiches/3502/","3502")</f>
        <v>3502</v>
      </c>
      <c r="E502" s="2" t="str">
        <f>HYPERLINK("http://www.intercariforef.org/formations/certification-100649.html","100649")</f>
        <v>100649</v>
      </c>
      <c r="F502" s="3">
        <v>43194</v>
      </c>
      <c r="G502" s="3">
        <v>43194</v>
      </c>
    </row>
    <row r="503" spans="1:7" ht="26.2" x14ac:dyDescent="0.3">
      <c r="A503" s="1" t="s">
        <v>647</v>
      </c>
      <c r="B503" s="1" t="s">
        <v>711</v>
      </c>
      <c r="C503" s="1" t="s">
        <v>712</v>
      </c>
      <c r="D503" s="2" t="str">
        <f>HYPERLINK("https://inventaire.cncp.gouv.fr/fiches/3503/","3503")</f>
        <v>3503</v>
      </c>
      <c r="E503" s="2" t="str">
        <f>HYPERLINK("http://www.intercariforef.org/formations/certification-102637.html","102637")</f>
        <v>102637</v>
      </c>
      <c r="F503" s="3">
        <v>43299</v>
      </c>
      <c r="G503" s="3">
        <v>43299</v>
      </c>
    </row>
    <row r="504" spans="1:7" x14ac:dyDescent="0.3">
      <c r="A504" s="1" t="s">
        <v>647</v>
      </c>
      <c r="B504" s="1" t="s">
        <v>713</v>
      </c>
      <c r="C504" s="1" t="s">
        <v>436</v>
      </c>
      <c r="D504" s="2" t="str">
        <f>HYPERLINK("https://inventaire.cncp.gouv.fr/fiches/2890/","2890")</f>
        <v>2890</v>
      </c>
      <c r="E504" s="2" t="str">
        <f>HYPERLINK("http://www.intercariforef.org/formations/certification-96553.html","96553")</f>
        <v>96553</v>
      </c>
      <c r="F504" s="3">
        <v>42928</v>
      </c>
      <c r="G504" s="3">
        <v>42928</v>
      </c>
    </row>
    <row r="505" spans="1:7" x14ac:dyDescent="0.3">
      <c r="A505" s="1" t="s">
        <v>647</v>
      </c>
      <c r="B505" s="1" t="s">
        <v>714</v>
      </c>
      <c r="C505" s="1" t="s">
        <v>709</v>
      </c>
      <c r="D505" s="2" t="str">
        <f>HYPERLINK("https://inventaire.cncp.gouv.fr/fiches/3505/","3505")</f>
        <v>3505</v>
      </c>
      <c r="E505" s="2" t="str">
        <f>HYPERLINK("http://www.intercariforef.org/formations/certification-100645.html","100645")</f>
        <v>100645</v>
      </c>
      <c r="F505" s="3">
        <v>43194</v>
      </c>
      <c r="G505" s="3">
        <v>43194</v>
      </c>
    </row>
    <row r="506" spans="1:7" x14ac:dyDescent="0.3">
      <c r="A506" s="1" t="s">
        <v>647</v>
      </c>
      <c r="B506" s="1" t="s">
        <v>715</v>
      </c>
      <c r="C506" s="1" t="s">
        <v>678</v>
      </c>
      <c r="D506" s="2" t="str">
        <f>HYPERLINK("https://inventaire.cncp.gouv.fr/fiches/3427/","3427")</f>
        <v>3427</v>
      </c>
      <c r="E506" s="2" t="str">
        <f>HYPERLINK("http://www.intercariforef.org/formations/certification-100657.html","100657")</f>
        <v>100657</v>
      </c>
      <c r="F506" s="3">
        <v>43194</v>
      </c>
      <c r="G506" s="3">
        <v>43194</v>
      </c>
    </row>
    <row r="507" spans="1:7" x14ac:dyDescent="0.3">
      <c r="A507" s="1" t="s">
        <v>647</v>
      </c>
      <c r="B507" s="1" t="s">
        <v>716</v>
      </c>
      <c r="C507" s="1" t="s">
        <v>208</v>
      </c>
      <c r="D507" s="2" t="str">
        <f>HYPERLINK("https://inventaire.cncp.gouv.fr/fiches/3391/","3391")</f>
        <v>3391</v>
      </c>
      <c r="E507" s="2" t="str">
        <f>HYPERLINK("http://www.intercariforef.org/formations/certification-100019.html","100019")</f>
        <v>100019</v>
      </c>
      <c r="F507" s="3">
        <v>43151</v>
      </c>
      <c r="G507" s="3">
        <v>43151</v>
      </c>
    </row>
    <row r="508" spans="1:7" x14ac:dyDescent="0.3">
      <c r="A508" s="1" t="s">
        <v>647</v>
      </c>
      <c r="B508" s="1" t="s">
        <v>717</v>
      </c>
      <c r="C508" s="1" t="s">
        <v>470</v>
      </c>
      <c r="D508" s="2" t="str">
        <f>HYPERLINK("https://inventaire.cncp.gouv.fr/fiches/3258/","3258")</f>
        <v>3258</v>
      </c>
      <c r="E508" s="2" t="str">
        <f>HYPERLINK("http://www.intercariforef.org/formations/certification-99179.html","99179")</f>
        <v>99179</v>
      </c>
      <c r="F508" s="3">
        <v>43076</v>
      </c>
      <c r="G508" s="3">
        <v>43076</v>
      </c>
    </row>
    <row r="509" spans="1:7" x14ac:dyDescent="0.3">
      <c r="A509" s="1" t="s">
        <v>647</v>
      </c>
      <c r="B509" s="1" t="s">
        <v>718</v>
      </c>
      <c r="C509" s="1" t="s">
        <v>719</v>
      </c>
      <c r="D509" s="2" t="str">
        <f>HYPERLINK("https://inventaire.cncp.gouv.fr/fiches/2544/","2544")</f>
        <v>2544</v>
      </c>
      <c r="E509" s="2" t="str">
        <f>HYPERLINK("http://www.intercariforef.org/formations/certification-95661.html","95661")</f>
        <v>95661</v>
      </c>
      <c r="F509" s="3">
        <v>42894</v>
      </c>
      <c r="G509" s="3">
        <v>42894</v>
      </c>
    </row>
    <row r="510" spans="1:7" x14ac:dyDescent="0.3">
      <c r="A510" s="1" t="s">
        <v>720</v>
      </c>
      <c r="B510" s="1" t="s">
        <v>721</v>
      </c>
      <c r="C510" s="1" t="s">
        <v>722</v>
      </c>
      <c r="D510" s="2" t="str">
        <f>HYPERLINK("https://inventaire.cncp.gouv.fr/fiches/2101/","2101")</f>
        <v>2101</v>
      </c>
      <c r="E510" s="2" t="str">
        <f>HYPERLINK("http://www.intercariforef.org/formations/certification-91939.html","91939")</f>
        <v>91939</v>
      </c>
      <c r="F510" s="3">
        <v>42662</v>
      </c>
      <c r="G510" s="3">
        <v>42662</v>
      </c>
    </row>
    <row r="511" spans="1:7" x14ac:dyDescent="0.3">
      <c r="A511" s="1" t="s">
        <v>720</v>
      </c>
      <c r="B511" s="1" t="s">
        <v>723</v>
      </c>
      <c r="C511" s="1" t="s">
        <v>75</v>
      </c>
      <c r="D511" s="2" t="str">
        <f>HYPERLINK("https://inventaire.cncp.gouv.fr/fiches/913/","913")</f>
        <v>913</v>
      </c>
      <c r="E511" s="2" t="str">
        <f>HYPERLINK("http://www.intercariforef.org/formations/certification-85048.html","85048")</f>
        <v>85048</v>
      </c>
      <c r="F511" s="3">
        <v>42185</v>
      </c>
      <c r="G511" s="3">
        <v>42185</v>
      </c>
    </row>
    <row r="512" spans="1:7" x14ac:dyDescent="0.3">
      <c r="A512" s="1" t="s">
        <v>720</v>
      </c>
      <c r="B512" s="1" t="s">
        <v>724</v>
      </c>
      <c r="C512" s="1" t="s">
        <v>75</v>
      </c>
      <c r="D512" s="2" t="str">
        <f>HYPERLINK("https://inventaire.cncp.gouv.fr/fiches/1010/","1010")</f>
        <v>1010</v>
      </c>
      <c r="E512" s="2" t="str">
        <f>HYPERLINK("http://www.intercariforef.org/formations/certification-85051.html","85051")</f>
        <v>85051</v>
      </c>
      <c r="F512" s="3">
        <v>42185</v>
      </c>
      <c r="G512" s="3">
        <v>42185</v>
      </c>
    </row>
    <row r="513" spans="1:7" x14ac:dyDescent="0.3">
      <c r="A513" s="1" t="s">
        <v>720</v>
      </c>
      <c r="B513" s="1" t="s">
        <v>725</v>
      </c>
      <c r="C513" s="1" t="s">
        <v>726</v>
      </c>
      <c r="D513" s="2" t="str">
        <f>HYPERLINK("https://inventaire.cncp.gouv.fr/fiches/988/","988")</f>
        <v>988</v>
      </c>
      <c r="E513" s="2" t="str">
        <f>HYPERLINK("http://www.intercariforef.org/formations/certification-85161.html","85161")</f>
        <v>85161</v>
      </c>
      <c r="F513" s="3">
        <v>42201</v>
      </c>
      <c r="G513" s="3">
        <v>42201</v>
      </c>
    </row>
    <row r="514" spans="1:7" x14ac:dyDescent="0.3">
      <c r="A514" s="1" t="s">
        <v>720</v>
      </c>
      <c r="B514" s="1" t="s">
        <v>727</v>
      </c>
      <c r="C514" s="1" t="s">
        <v>75</v>
      </c>
      <c r="D514" s="2" t="str">
        <f>HYPERLINK("https://inventaire.cncp.gouv.fr/fiches/2738/","2738")</f>
        <v>2738</v>
      </c>
      <c r="E514" s="2" t="str">
        <f>HYPERLINK("http://www.intercariforef.org/formations/certification-95671.html","95671")</f>
        <v>95671</v>
      </c>
      <c r="F514" s="3">
        <v>42894</v>
      </c>
      <c r="G514" s="3">
        <v>43152</v>
      </c>
    </row>
    <row r="515" spans="1:7" x14ac:dyDescent="0.3">
      <c r="A515" s="1" t="s">
        <v>720</v>
      </c>
      <c r="B515" s="1" t="s">
        <v>728</v>
      </c>
      <c r="C515" s="1" t="s">
        <v>377</v>
      </c>
      <c r="D515" s="2" t="str">
        <f>HYPERLINK("https://inventaire.cncp.gouv.fr/fiches/3816/","3816")</f>
        <v>3816</v>
      </c>
      <c r="E515" s="2" t="str">
        <f>HYPERLINK("http://www.intercariforef.org/formations/certification-102159.html","102159")</f>
        <v>102159</v>
      </c>
      <c r="F515" s="3">
        <v>43293</v>
      </c>
      <c r="G515" s="3">
        <v>43293</v>
      </c>
    </row>
    <row r="516" spans="1:7" ht="26.2" x14ac:dyDescent="0.3">
      <c r="A516" s="1" t="s">
        <v>720</v>
      </c>
      <c r="B516" s="1" t="s">
        <v>729</v>
      </c>
      <c r="C516" s="1" t="s">
        <v>730</v>
      </c>
      <c r="D516" s="2" t="str">
        <f>HYPERLINK("https://inventaire.cncp.gouv.fr/fiches/3221/","3221")</f>
        <v>3221</v>
      </c>
      <c r="E516" s="2" t="str">
        <f>HYPERLINK("http://www.intercariforef.org/formations/certification-101209.html","101209")</f>
        <v>101209</v>
      </c>
      <c r="F516" s="3">
        <v>43251</v>
      </c>
      <c r="G516" s="3">
        <v>43251</v>
      </c>
    </row>
    <row r="517" spans="1:7" x14ac:dyDescent="0.3">
      <c r="A517" s="1" t="s">
        <v>720</v>
      </c>
      <c r="B517" s="1" t="s">
        <v>731</v>
      </c>
      <c r="C517" s="1" t="s">
        <v>726</v>
      </c>
      <c r="D517" s="2" t="str">
        <f>HYPERLINK("https://inventaire.cncp.gouv.fr/fiches/968/","968")</f>
        <v>968</v>
      </c>
      <c r="E517" s="2" t="str">
        <f>HYPERLINK("http://www.intercariforef.org/formations/certification-85162.html","85162")</f>
        <v>85162</v>
      </c>
      <c r="F517" s="3">
        <v>42201</v>
      </c>
      <c r="G517" s="3">
        <v>42201</v>
      </c>
    </row>
    <row r="518" spans="1:7" x14ac:dyDescent="0.3">
      <c r="A518" s="1" t="s">
        <v>720</v>
      </c>
      <c r="B518" s="1" t="s">
        <v>732</v>
      </c>
      <c r="C518" s="1" t="s">
        <v>75</v>
      </c>
      <c r="D518" s="2" t="str">
        <f>HYPERLINK("https://inventaire.cncp.gouv.fr/fiches/3040/","3040")</f>
        <v>3040</v>
      </c>
      <c r="E518" s="2" t="str">
        <f>HYPERLINK("http://www.intercariforef.org/formations/certification-100059.html","100059")</f>
        <v>100059</v>
      </c>
      <c r="F518" s="3">
        <v>43152</v>
      </c>
      <c r="G518" s="3">
        <v>43152</v>
      </c>
    </row>
    <row r="519" spans="1:7" x14ac:dyDescent="0.3">
      <c r="A519" s="1" t="s">
        <v>720</v>
      </c>
      <c r="B519" s="1" t="s">
        <v>733</v>
      </c>
      <c r="C519" s="1" t="s">
        <v>331</v>
      </c>
      <c r="D519" s="2" t="str">
        <f>HYPERLINK("https://inventaire.cncp.gouv.fr/fiches/2904/","2904")</f>
        <v>2904</v>
      </c>
      <c r="E519" s="2" t="str">
        <f>HYPERLINK("http://www.intercariforef.org/formations/certification-98637.html","98637")</f>
        <v>98637</v>
      </c>
      <c r="F519" s="3">
        <v>43038</v>
      </c>
      <c r="G519" s="3">
        <v>43038</v>
      </c>
    </row>
    <row r="520" spans="1:7" x14ac:dyDescent="0.3">
      <c r="A520" s="1" t="s">
        <v>720</v>
      </c>
      <c r="B520" s="1" t="s">
        <v>734</v>
      </c>
      <c r="C520" s="1" t="s">
        <v>331</v>
      </c>
      <c r="D520" s="2" t="str">
        <f>HYPERLINK("https://inventaire.cncp.gouv.fr/fiches/2892/","2892")</f>
        <v>2892</v>
      </c>
      <c r="E520" s="2" t="str">
        <f>HYPERLINK("http://www.intercariforef.org/formations/certification-98647.html","98647")</f>
        <v>98647</v>
      </c>
      <c r="F520" s="3">
        <v>43038</v>
      </c>
      <c r="G520" s="3">
        <v>43038</v>
      </c>
    </row>
    <row r="521" spans="1:7" x14ac:dyDescent="0.3">
      <c r="A521" s="1" t="s">
        <v>720</v>
      </c>
      <c r="B521" s="1" t="s">
        <v>735</v>
      </c>
      <c r="C521" s="1" t="s">
        <v>736</v>
      </c>
      <c r="D521" s="2" t="str">
        <f>HYPERLINK("https://inventaire.cncp.gouv.fr/fiches/2246/","2246")</f>
        <v>2246</v>
      </c>
      <c r="E521" s="2" t="str">
        <f>HYPERLINK("http://www.intercariforef.org/formations/certification-91769.html","91769")</f>
        <v>91769</v>
      </c>
      <c r="F521" s="3">
        <v>42654</v>
      </c>
      <c r="G521" s="3">
        <v>42654</v>
      </c>
    </row>
    <row r="522" spans="1:7" x14ac:dyDescent="0.3">
      <c r="A522" s="1" t="s">
        <v>720</v>
      </c>
      <c r="B522" s="1" t="s">
        <v>737</v>
      </c>
      <c r="C522" s="1" t="s">
        <v>736</v>
      </c>
      <c r="D522" s="2" t="str">
        <f>HYPERLINK("https://inventaire.cncp.gouv.fr/fiches/2254/","2254")</f>
        <v>2254</v>
      </c>
      <c r="E522" s="2" t="str">
        <f>HYPERLINK("http://www.intercariforef.org/formations/certification-91767.html","91767")</f>
        <v>91767</v>
      </c>
      <c r="F522" s="3">
        <v>42654</v>
      </c>
      <c r="G522" s="3">
        <v>42654</v>
      </c>
    </row>
    <row r="523" spans="1:7" x14ac:dyDescent="0.3">
      <c r="A523" s="1" t="s">
        <v>720</v>
      </c>
      <c r="B523" s="1" t="s">
        <v>738</v>
      </c>
      <c r="C523" s="1" t="s">
        <v>736</v>
      </c>
      <c r="D523" s="2" t="str">
        <f>HYPERLINK("https://inventaire.cncp.gouv.fr/fiches/2256/","2256")</f>
        <v>2256</v>
      </c>
      <c r="E523" s="2" t="str">
        <f>HYPERLINK("http://www.intercariforef.org/formations/certification-91763.html","91763")</f>
        <v>91763</v>
      </c>
      <c r="F523" s="3">
        <v>42654</v>
      </c>
      <c r="G523" s="3">
        <v>42654</v>
      </c>
    </row>
    <row r="524" spans="1:7" x14ac:dyDescent="0.3">
      <c r="A524" s="1" t="s">
        <v>720</v>
      </c>
      <c r="B524" s="1" t="s">
        <v>739</v>
      </c>
      <c r="C524" s="1" t="s">
        <v>736</v>
      </c>
      <c r="D524" s="2" t="str">
        <f>HYPERLINK("https://inventaire.cncp.gouv.fr/fiches/2257/","2257")</f>
        <v>2257</v>
      </c>
      <c r="E524" s="2" t="str">
        <f>HYPERLINK("http://www.intercariforef.org/formations/certification-91761.html","91761")</f>
        <v>91761</v>
      </c>
      <c r="F524" s="3">
        <v>42654</v>
      </c>
      <c r="G524" s="3">
        <v>42654</v>
      </c>
    </row>
    <row r="525" spans="1:7" x14ac:dyDescent="0.3">
      <c r="A525" s="1" t="s">
        <v>720</v>
      </c>
      <c r="B525" s="1" t="s">
        <v>740</v>
      </c>
      <c r="C525" s="1" t="s">
        <v>736</v>
      </c>
      <c r="D525" s="2" t="str">
        <f>HYPERLINK("https://inventaire.cncp.gouv.fr/fiches/2255/","2255")</f>
        <v>2255</v>
      </c>
      <c r="E525" s="2" t="str">
        <f>HYPERLINK("http://www.intercariforef.org/formations/certification-91765.html","91765")</f>
        <v>91765</v>
      </c>
      <c r="F525" s="3">
        <v>42654</v>
      </c>
      <c r="G525" s="3">
        <v>42654</v>
      </c>
    </row>
    <row r="526" spans="1:7" x14ac:dyDescent="0.3">
      <c r="A526" s="1" t="s">
        <v>720</v>
      </c>
      <c r="B526" s="1" t="s">
        <v>741</v>
      </c>
      <c r="C526" s="1" t="s">
        <v>736</v>
      </c>
      <c r="D526" s="2" t="str">
        <f>HYPERLINK("https://inventaire.cncp.gouv.fr/fiches/2258/","2258")</f>
        <v>2258</v>
      </c>
      <c r="E526" s="2" t="str">
        <f>HYPERLINK("http://www.intercariforef.org/formations/certification-91759.html","91759")</f>
        <v>91759</v>
      </c>
      <c r="F526" s="3">
        <v>42654</v>
      </c>
      <c r="G526" s="3">
        <v>42654</v>
      </c>
    </row>
    <row r="527" spans="1:7" x14ac:dyDescent="0.3">
      <c r="A527" s="1" t="s">
        <v>720</v>
      </c>
      <c r="B527" s="1" t="s">
        <v>742</v>
      </c>
      <c r="C527" s="1" t="s">
        <v>379</v>
      </c>
      <c r="D527" s="2" t="str">
        <f>HYPERLINK("https://inventaire.cncp.gouv.fr/fiches/1501/","1501")</f>
        <v>1501</v>
      </c>
      <c r="E527" s="2" t="str">
        <f>HYPERLINK("http://www.intercariforef.org/formations/certification-87557.html","87557")</f>
        <v>87557</v>
      </c>
      <c r="F527" s="3">
        <v>42412</v>
      </c>
      <c r="G527" s="3">
        <v>42412</v>
      </c>
    </row>
    <row r="528" spans="1:7" x14ac:dyDescent="0.3">
      <c r="A528" s="1" t="s">
        <v>720</v>
      </c>
      <c r="B528" s="1" t="s">
        <v>743</v>
      </c>
      <c r="C528" s="1" t="s">
        <v>744</v>
      </c>
      <c r="D528" s="2" t="str">
        <f>HYPERLINK("https://inventaire.cncp.gouv.fr/fiches/2917/","2917")</f>
        <v>2917</v>
      </c>
      <c r="E528" s="2" t="str">
        <f>HYPERLINK("http://www.intercariforef.org/formations/certification-97069.html","97069")</f>
        <v>97069</v>
      </c>
      <c r="F528" s="3">
        <v>42977</v>
      </c>
      <c r="G528" s="3">
        <v>42977</v>
      </c>
    </row>
    <row r="529" spans="1:7" x14ac:dyDescent="0.3">
      <c r="A529" s="1" t="s">
        <v>720</v>
      </c>
      <c r="B529" s="1" t="s">
        <v>745</v>
      </c>
      <c r="C529" s="1" t="s">
        <v>186</v>
      </c>
      <c r="D529" s="2" t="str">
        <f>HYPERLINK("https://inventaire.cncp.gouv.fr/fiches/3721/","3721")</f>
        <v>3721</v>
      </c>
      <c r="E529" s="2" t="str">
        <f>HYPERLINK("http://www.intercariforef.org/formations/certification-102469.html","102469")</f>
        <v>102469</v>
      </c>
      <c r="F529" s="3">
        <v>43298</v>
      </c>
      <c r="G529" s="3">
        <v>43298</v>
      </c>
    </row>
    <row r="530" spans="1:7" x14ac:dyDescent="0.3">
      <c r="A530" s="1" t="s">
        <v>720</v>
      </c>
      <c r="B530" s="1" t="s">
        <v>746</v>
      </c>
      <c r="C530" s="1" t="s">
        <v>186</v>
      </c>
      <c r="D530" s="2" t="str">
        <f>HYPERLINK("https://inventaire.cncp.gouv.fr/fiches/3722/","3722")</f>
        <v>3722</v>
      </c>
      <c r="E530" s="2" t="str">
        <f>HYPERLINK("http://www.intercariforef.org/formations/certification-102467.html","102467")</f>
        <v>102467</v>
      </c>
      <c r="F530" s="3">
        <v>43298</v>
      </c>
      <c r="G530" s="3">
        <v>43298</v>
      </c>
    </row>
    <row r="531" spans="1:7" x14ac:dyDescent="0.3">
      <c r="A531" s="1" t="s">
        <v>720</v>
      </c>
      <c r="B531" s="1" t="s">
        <v>747</v>
      </c>
      <c r="C531" s="1" t="s">
        <v>748</v>
      </c>
      <c r="D531" s="2" t="str">
        <f>HYPERLINK("https://inventaire.cncp.gouv.fr/fiches/1810/","1810")</f>
        <v>1810</v>
      </c>
      <c r="E531" s="2" t="str">
        <f>HYPERLINK("http://www.intercariforef.org/formations/certification-92095.html","92095")</f>
        <v>92095</v>
      </c>
      <c r="F531" s="3">
        <v>42667</v>
      </c>
      <c r="G531" s="3">
        <v>42667</v>
      </c>
    </row>
    <row r="532" spans="1:7" x14ac:dyDescent="0.3">
      <c r="A532" s="1" t="s">
        <v>720</v>
      </c>
      <c r="B532" s="1" t="s">
        <v>749</v>
      </c>
      <c r="C532" s="1" t="s">
        <v>750</v>
      </c>
      <c r="D532" s="2" t="str">
        <f>HYPERLINK("https://inventaire.cncp.gouv.fr/fiches/3224/","3224")</f>
        <v>3224</v>
      </c>
      <c r="E532" s="2" t="str">
        <f>HYPERLINK("http://www.intercariforef.org/formations/certification-102645.html","102645")</f>
        <v>102645</v>
      </c>
      <c r="F532" s="3">
        <v>43299</v>
      </c>
      <c r="G532" s="3">
        <v>43299</v>
      </c>
    </row>
    <row r="533" spans="1:7" x14ac:dyDescent="0.3">
      <c r="A533" s="1" t="s">
        <v>720</v>
      </c>
      <c r="B533" s="1" t="s">
        <v>751</v>
      </c>
      <c r="C533" s="1" t="s">
        <v>748</v>
      </c>
      <c r="D533" s="2" t="str">
        <f>HYPERLINK("https://inventaire.cncp.gouv.fr/fiches/1809/","1809")</f>
        <v>1809</v>
      </c>
      <c r="E533" s="2" t="str">
        <f>HYPERLINK("http://www.intercariforef.org/formations/certification-90243.html","90243")</f>
        <v>90243</v>
      </c>
      <c r="F533" s="3">
        <v>42563</v>
      </c>
      <c r="G533" s="3">
        <v>42563</v>
      </c>
    </row>
    <row r="534" spans="1:7" x14ac:dyDescent="0.3">
      <c r="A534" s="1" t="s">
        <v>720</v>
      </c>
      <c r="B534" s="1" t="s">
        <v>752</v>
      </c>
      <c r="C534" s="1" t="s">
        <v>347</v>
      </c>
      <c r="D534" s="2" t="str">
        <f>HYPERLINK("https://inventaire.cncp.gouv.fr/fiches/1898/","1898")</f>
        <v>1898</v>
      </c>
      <c r="E534" s="2" t="str">
        <f>HYPERLINK("http://www.intercariforef.org/formations/certification-98375.html","98375")</f>
        <v>98375</v>
      </c>
      <c r="F534" s="3">
        <v>43027</v>
      </c>
      <c r="G534" s="3">
        <v>43027</v>
      </c>
    </row>
    <row r="535" spans="1:7" x14ac:dyDescent="0.3">
      <c r="A535" s="1" t="s">
        <v>720</v>
      </c>
      <c r="B535" s="1" t="s">
        <v>753</v>
      </c>
      <c r="C535" s="1" t="s">
        <v>754</v>
      </c>
      <c r="D535" s="2" t="str">
        <f>HYPERLINK("https://inventaire.cncp.gouv.fr/fiches/1924/","1924")</f>
        <v>1924</v>
      </c>
      <c r="E535" s="2" t="str">
        <f>HYPERLINK("http://www.intercariforef.org/formations/certification-88387.html","88387")</f>
        <v>88387</v>
      </c>
      <c r="F535" s="3">
        <v>42461</v>
      </c>
      <c r="G535" s="3">
        <v>42718</v>
      </c>
    </row>
    <row r="536" spans="1:7" x14ac:dyDescent="0.3">
      <c r="A536" s="1" t="s">
        <v>755</v>
      </c>
      <c r="B536" s="1" t="s">
        <v>756</v>
      </c>
      <c r="C536" s="1" t="s">
        <v>377</v>
      </c>
      <c r="D536" s="2" t="str">
        <f>HYPERLINK("https://inventaire.cncp.gouv.fr/fiches/355/","355")</f>
        <v>355</v>
      </c>
      <c r="E536" s="2" t="str">
        <f>HYPERLINK("http://www.intercariforef.org/formations/certification-84451.html","84451")</f>
        <v>84451</v>
      </c>
      <c r="F536" s="3">
        <v>42109</v>
      </c>
      <c r="G536" s="3">
        <v>42979</v>
      </c>
    </row>
    <row r="537" spans="1:7" x14ac:dyDescent="0.3">
      <c r="A537" s="1" t="s">
        <v>755</v>
      </c>
      <c r="B537" s="1" t="s">
        <v>757</v>
      </c>
      <c r="C537" s="1" t="s">
        <v>758</v>
      </c>
      <c r="D537" s="2" t="str">
        <f>HYPERLINK("https://inventaire.cncp.gouv.fr/fiches/3081/","3081")</f>
        <v>3081</v>
      </c>
      <c r="E537" s="2" t="str">
        <f>HYPERLINK("http://www.intercariforef.org/formations/certification-101369.html","101369")</f>
        <v>101369</v>
      </c>
      <c r="F537" s="3">
        <v>43259</v>
      </c>
      <c r="G537" s="3">
        <v>43259</v>
      </c>
    </row>
    <row r="538" spans="1:7" x14ac:dyDescent="0.3">
      <c r="A538" s="1" t="s">
        <v>755</v>
      </c>
      <c r="B538" s="1" t="s">
        <v>759</v>
      </c>
      <c r="C538" s="1" t="s">
        <v>760</v>
      </c>
      <c r="D538" s="2" t="str">
        <f>HYPERLINK("https://inventaire.cncp.gouv.fr/fiches/730/","730")</f>
        <v>730</v>
      </c>
      <c r="E538" s="2" t="str">
        <f>HYPERLINK("http://www.intercariforef.org/formations/certification-88641.html","88641")</f>
        <v>88641</v>
      </c>
      <c r="F538" s="3">
        <v>42486</v>
      </c>
      <c r="G538" s="3">
        <v>42718</v>
      </c>
    </row>
    <row r="539" spans="1:7" x14ac:dyDescent="0.3">
      <c r="A539" s="1" t="s">
        <v>755</v>
      </c>
      <c r="B539" s="1" t="s">
        <v>761</v>
      </c>
      <c r="C539" s="1" t="s">
        <v>762</v>
      </c>
      <c r="D539" s="2" t="str">
        <f>HYPERLINK("https://inventaire.cncp.gouv.fr/fiches/3376/","3376")</f>
        <v>3376</v>
      </c>
      <c r="E539" s="2" t="str">
        <f>HYPERLINK("http://www.intercariforef.org/formations/certification-100033.html","100033")</f>
        <v>100033</v>
      </c>
      <c r="F539" s="3">
        <v>43152</v>
      </c>
      <c r="G539" s="3">
        <v>43152</v>
      </c>
    </row>
    <row r="540" spans="1:7" x14ac:dyDescent="0.3">
      <c r="A540" s="1" t="s">
        <v>755</v>
      </c>
      <c r="B540" s="1" t="s">
        <v>763</v>
      </c>
      <c r="C540" s="1" t="s">
        <v>764</v>
      </c>
      <c r="D540" s="2" t="str">
        <f>HYPERLINK("https://inventaire.cncp.gouv.fr/fiches/2715/","2715")</f>
        <v>2715</v>
      </c>
      <c r="E540" s="2" t="str">
        <f>HYPERLINK("http://www.intercariforef.org/formations/certification-94825.html","94825")</f>
        <v>94825</v>
      </c>
      <c r="F540" s="3">
        <v>42836</v>
      </c>
      <c r="G540" s="3">
        <v>42836</v>
      </c>
    </row>
    <row r="541" spans="1:7" x14ac:dyDescent="0.3">
      <c r="A541" s="1" t="s">
        <v>755</v>
      </c>
      <c r="B541" s="1" t="s">
        <v>765</v>
      </c>
      <c r="C541" s="1" t="s">
        <v>698</v>
      </c>
      <c r="D541" s="2" t="str">
        <f>HYPERLINK("https://inventaire.cncp.gouv.fr/fiches/2522/","2522")</f>
        <v>2522</v>
      </c>
      <c r="E541" s="2" t="str">
        <f>HYPERLINK("http://www.intercariforef.org/formations/certification-94935.html","94935")</f>
        <v>94935</v>
      </c>
      <c r="F541" s="3">
        <v>42837</v>
      </c>
      <c r="G541" s="3">
        <v>42837</v>
      </c>
    </row>
    <row r="542" spans="1:7" x14ac:dyDescent="0.3">
      <c r="A542" s="1" t="s">
        <v>755</v>
      </c>
      <c r="B542" s="1" t="s">
        <v>766</v>
      </c>
      <c r="C542" s="1" t="s">
        <v>767</v>
      </c>
      <c r="D542" s="2" t="str">
        <f>HYPERLINK("https://inventaire.cncp.gouv.fr/fiches/3479/","3479")</f>
        <v>3479</v>
      </c>
      <c r="E542" s="2" t="str">
        <f>HYPERLINK("http://www.intercariforef.org/formations/certification-102641.html","102641")</f>
        <v>102641</v>
      </c>
      <c r="F542" s="3">
        <v>43299</v>
      </c>
      <c r="G542" s="3">
        <v>43299</v>
      </c>
    </row>
    <row r="543" spans="1:7" x14ac:dyDescent="0.3">
      <c r="A543" s="1" t="s">
        <v>755</v>
      </c>
      <c r="B543" s="1" t="s">
        <v>768</v>
      </c>
      <c r="C543" s="1" t="s">
        <v>241</v>
      </c>
      <c r="D543" s="2" t="str">
        <f>HYPERLINK("https://inventaire.cncp.gouv.fr/fiches/1707/","1707")</f>
        <v>1707</v>
      </c>
      <c r="E543" s="2" t="str">
        <f>HYPERLINK("http://www.intercariforef.org/formations/certification-90017.html","90017")</f>
        <v>90017</v>
      </c>
      <c r="F543" s="3">
        <v>42558</v>
      </c>
      <c r="G543" s="3">
        <v>42558</v>
      </c>
    </row>
    <row r="544" spans="1:7" x14ac:dyDescent="0.3">
      <c r="A544" s="1" t="s">
        <v>755</v>
      </c>
      <c r="B544" s="1" t="s">
        <v>769</v>
      </c>
      <c r="C544" s="1" t="s">
        <v>602</v>
      </c>
      <c r="D544" s="2" t="str">
        <f>HYPERLINK("https://inventaire.cncp.gouv.fr/fiches/2366/","2366")</f>
        <v>2366</v>
      </c>
      <c r="E544" s="2" t="str">
        <f>HYPERLINK("http://www.intercariforef.org/formations/certification-95465.html","95465")</f>
        <v>95465</v>
      </c>
      <c r="F544" s="3">
        <v>42884</v>
      </c>
      <c r="G544" s="3">
        <v>42979</v>
      </c>
    </row>
    <row r="545" spans="1:7" x14ac:dyDescent="0.3">
      <c r="A545" s="1" t="s">
        <v>755</v>
      </c>
      <c r="B545" s="1" t="s">
        <v>770</v>
      </c>
      <c r="C545" s="1" t="s">
        <v>350</v>
      </c>
      <c r="D545" s="2" t="str">
        <f>HYPERLINK("https://inventaire.cncp.gouv.fr/fiches/3295/","3295")</f>
        <v>3295</v>
      </c>
      <c r="E545" s="2" t="str">
        <f>HYPERLINK("http://www.intercariforef.org/formations/certification-100717.html","100717")</f>
        <v>100717</v>
      </c>
      <c r="F545" s="3">
        <v>43199</v>
      </c>
      <c r="G545" s="3">
        <v>43392</v>
      </c>
    </row>
    <row r="546" spans="1:7" x14ac:dyDescent="0.3">
      <c r="A546" s="1" t="s">
        <v>755</v>
      </c>
      <c r="B546" s="1" t="s">
        <v>771</v>
      </c>
      <c r="C546" s="1" t="s">
        <v>26</v>
      </c>
      <c r="D546" s="2" t="str">
        <f>HYPERLINK("https://inventaire.cncp.gouv.fr/fiches/52/","52")</f>
        <v>52</v>
      </c>
      <c r="E546" s="2" t="str">
        <f>HYPERLINK("http://www.intercariforef.org/formations/certification-84531.html","84531")</f>
        <v>84531</v>
      </c>
      <c r="F546" s="3">
        <v>42114</v>
      </c>
      <c r="G546" s="3">
        <v>42114</v>
      </c>
    </row>
    <row r="547" spans="1:7" x14ac:dyDescent="0.3">
      <c r="A547" s="1" t="s">
        <v>755</v>
      </c>
      <c r="B547" s="1" t="s">
        <v>772</v>
      </c>
      <c r="C547" s="1" t="s">
        <v>773</v>
      </c>
      <c r="D547" s="2" t="str">
        <f>HYPERLINK("https://inventaire.cncp.gouv.fr/fiches/2549/","2549")</f>
        <v>2549</v>
      </c>
      <c r="E547" s="2" t="str">
        <f>HYPERLINK("http://www.intercariforef.org/formations/certification-95243.html","95243")</f>
        <v>95243</v>
      </c>
      <c r="F547" s="3">
        <v>42851</v>
      </c>
      <c r="G547" s="3">
        <v>42851</v>
      </c>
    </row>
    <row r="548" spans="1:7" x14ac:dyDescent="0.3">
      <c r="A548" s="1" t="s">
        <v>755</v>
      </c>
      <c r="B548" s="1" t="s">
        <v>774</v>
      </c>
      <c r="C548" s="1" t="s">
        <v>241</v>
      </c>
      <c r="D548" s="2" t="str">
        <f>HYPERLINK("https://inventaire.cncp.gouv.fr/fiches/3201/","3201")</f>
        <v>3201</v>
      </c>
      <c r="E548" s="2" t="str">
        <f>HYPERLINK("http://www.intercariforef.org/formations/certification-99159.html","99159")</f>
        <v>99159</v>
      </c>
      <c r="F548" s="3">
        <v>43076</v>
      </c>
      <c r="G548" s="3">
        <v>43076</v>
      </c>
    </row>
    <row r="549" spans="1:7" x14ac:dyDescent="0.3">
      <c r="A549" s="1" t="s">
        <v>755</v>
      </c>
      <c r="B549" s="1" t="s">
        <v>775</v>
      </c>
      <c r="C549" s="1" t="s">
        <v>776</v>
      </c>
      <c r="D549" s="2" t="str">
        <f>HYPERLINK("https://inventaire.cncp.gouv.fr/fiches/3625/","3625")</f>
        <v>3625</v>
      </c>
      <c r="E549" s="2" t="str">
        <f>HYPERLINK("http://www.intercariforef.org/formations/certification-101155.html","101155")</f>
        <v>101155</v>
      </c>
      <c r="F549" s="3">
        <v>43250</v>
      </c>
      <c r="G549" s="3">
        <v>43353</v>
      </c>
    </row>
    <row r="550" spans="1:7" x14ac:dyDescent="0.3">
      <c r="A550" s="1" t="s">
        <v>755</v>
      </c>
      <c r="B550" s="1" t="s">
        <v>777</v>
      </c>
      <c r="C550" s="1" t="s">
        <v>350</v>
      </c>
      <c r="D550" s="2" t="str">
        <f>HYPERLINK("https://inventaire.cncp.gouv.fr/fiches/2851/","2851")</f>
        <v>2851</v>
      </c>
      <c r="E550" s="2" t="str">
        <f>HYPERLINK("http://www.intercariforef.org/formations/certification-98589.html","98589")</f>
        <v>98589</v>
      </c>
      <c r="F550" s="3">
        <v>43038</v>
      </c>
      <c r="G550" s="3">
        <v>43392</v>
      </c>
    </row>
    <row r="551" spans="1:7" ht="26.2" x14ac:dyDescent="0.3">
      <c r="A551" s="1" t="s">
        <v>755</v>
      </c>
      <c r="B551" s="1" t="s">
        <v>778</v>
      </c>
      <c r="C551" s="1" t="s">
        <v>779</v>
      </c>
      <c r="D551" s="2" t="str">
        <f>HYPERLINK("https://inventaire.cncp.gouv.fr/fiches/725/","725")</f>
        <v>725</v>
      </c>
      <c r="E551" s="2" t="str">
        <f>HYPERLINK("http://www.intercariforef.org/formations/certification-84394.html","84394")</f>
        <v>84394</v>
      </c>
      <c r="F551" s="3">
        <v>42109</v>
      </c>
      <c r="G551" s="3">
        <v>42979</v>
      </c>
    </row>
    <row r="552" spans="1:7" x14ac:dyDescent="0.3">
      <c r="A552" s="1" t="s">
        <v>755</v>
      </c>
      <c r="B552" s="1" t="s">
        <v>780</v>
      </c>
      <c r="C552" s="1" t="s">
        <v>75</v>
      </c>
      <c r="D552" s="2" t="str">
        <f>HYPERLINK("https://inventaire.cncp.gouv.fr/fiches/2813/","2813")</f>
        <v>2813</v>
      </c>
      <c r="E552" s="2" t="str">
        <f>HYPERLINK("http://www.intercariforef.org/formations/certification-98553.html","98553")</f>
        <v>98553</v>
      </c>
      <c r="F552" s="3">
        <v>43034</v>
      </c>
      <c r="G552" s="3">
        <v>43152</v>
      </c>
    </row>
    <row r="553" spans="1:7" x14ac:dyDescent="0.3">
      <c r="A553" s="1" t="s">
        <v>755</v>
      </c>
      <c r="B553" s="1" t="s">
        <v>781</v>
      </c>
      <c r="C553" s="1" t="s">
        <v>782</v>
      </c>
      <c r="D553" s="2" t="str">
        <f>HYPERLINK("https://inventaire.cncp.gouv.fr/fiches/519/","519")</f>
        <v>519</v>
      </c>
      <c r="E553" s="2" t="str">
        <f>HYPERLINK("http://www.intercariforef.org/formations/certification-84713.html","84713")</f>
        <v>84713</v>
      </c>
      <c r="F553" s="3">
        <v>42156</v>
      </c>
      <c r="G553" s="3">
        <v>42718</v>
      </c>
    </row>
    <row r="554" spans="1:7" x14ac:dyDescent="0.3">
      <c r="A554" s="1" t="s">
        <v>755</v>
      </c>
      <c r="B554" s="1" t="s">
        <v>783</v>
      </c>
      <c r="C554" s="1" t="s">
        <v>784</v>
      </c>
      <c r="D554" s="2" t="str">
        <f>HYPERLINK("https://inventaire.cncp.gouv.fr/fiches/2750/","2750")</f>
        <v>2750</v>
      </c>
      <c r="E554" s="2" t="str">
        <f>HYPERLINK("http://www.intercariforef.org/formations/certification-96573.html","96573")</f>
        <v>96573</v>
      </c>
      <c r="F554" s="3">
        <v>42928</v>
      </c>
      <c r="G554" s="3">
        <v>42928</v>
      </c>
    </row>
    <row r="555" spans="1:7" x14ac:dyDescent="0.3">
      <c r="A555" s="1" t="s">
        <v>755</v>
      </c>
      <c r="B555" s="1" t="s">
        <v>785</v>
      </c>
      <c r="C555" s="1" t="s">
        <v>779</v>
      </c>
      <c r="D555" s="2" t="str">
        <f>HYPERLINK("https://inventaire.cncp.gouv.fr/fiches/890/","890")</f>
        <v>890</v>
      </c>
      <c r="E555" s="2" t="str">
        <f>HYPERLINK("http://www.intercariforef.org/formations/certification-66241.html","66241")</f>
        <v>66241</v>
      </c>
      <c r="F555" s="3">
        <v>40242</v>
      </c>
      <c r="G555" s="3">
        <v>42718</v>
      </c>
    </row>
    <row r="556" spans="1:7" ht="26.2" x14ac:dyDescent="0.3">
      <c r="A556" s="1" t="s">
        <v>755</v>
      </c>
      <c r="B556" s="1" t="s">
        <v>786</v>
      </c>
      <c r="C556" s="1" t="s">
        <v>787</v>
      </c>
      <c r="D556" s="2" t="str">
        <f>HYPERLINK("https://inventaire.cncp.gouv.fr/fiches/2749/","2749")</f>
        <v>2749</v>
      </c>
      <c r="E556" s="2" t="str">
        <f>HYPERLINK("http://www.intercariforef.org/formations/certification-99055.html","99055")</f>
        <v>99055</v>
      </c>
      <c r="F556" s="3">
        <v>43069</v>
      </c>
      <c r="G556" s="3">
        <v>43069</v>
      </c>
    </row>
    <row r="557" spans="1:7" x14ac:dyDescent="0.3">
      <c r="A557" s="1" t="s">
        <v>755</v>
      </c>
      <c r="B557" s="1" t="s">
        <v>788</v>
      </c>
      <c r="C557" s="1" t="s">
        <v>789</v>
      </c>
      <c r="D557" s="2" t="str">
        <f>HYPERLINK("https://inventaire.cncp.gouv.fr/fiches/631/","631")</f>
        <v>631</v>
      </c>
      <c r="E557" s="2" t="str">
        <f>HYPERLINK("http://www.intercariforef.org/formations/certification-85160.html","85160")</f>
        <v>85160</v>
      </c>
      <c r="F557" s="3">
        <v>42201</v>
      </c>
      <c r="G557" s="3">
        <v>42718</v>
      </c>
    </row>
    <row r="558" spans="1:7" x14ac:dyDescent="0.3">
      <c r="A558" s="1" t="s">
        <v>755</v>
      </c>
      <c r="B558" s="1" t="s">
        <v>790</v>
      </c>
      <c r="C558" s="1" t="s">
        <v>791</v>
      </c>
      <c r="D558" s="2" t="str">
        <f>HYPERLINK("https://inventaire.cncp.gouv.fr/fiches/2532/","2532")</f>
        <v>2532</v>
      </c>
      <c r="E558" s="2" t="str">
        <f>HYPERLINK("http://www.intercariforef.org/formations/certification-94837.html","94837")</f>
        <v>94837</v>
      </c>
      <c r="F558" s="3">
        <v>42836</v>
      </c>
      <c r="G558" s="3">
        <v>42836</v>
      </c>
    </row>
    <row r="559" spans="1:7" x14ac:dyDescent="0.3">
      <c r="A559" s="1" t="s">
        <v>755</v>
      </c>
      <c r="B559" s="1" t="s">
        <v>792</v>
      </c>
      <c r="C559" s="1" t="s">
        <v>793</v>
      </c>
      <c r="D559" s="2" t="str">
        <f>HYPERLINK("https://inventaire.cncp.gouv.fr/fiches/3293/","3293")</f>
        <v>3293</v>
      </c>
      <c r="E559" s="2" t="str">
        <f>HYPERLINK("http://www.intercariforef.org/formations/certification-100037.html","100037")</f>
        <v>100037</v>
      </c>
      <c r="F559" s="3">
        <v>43152</v>
      </c>
      <c r="G559" s="3">
        <v>43152</v>
      </c>
    </row>
    <row r="560" spans="1:7" x14ac:dyDescent="0.3">
      <c r="A560" s="1" t="s">
        <v>755</v>
      </c>
      <c r="B560" s="1" t="s">
        <v>794</v>
      </c>
      <c r="C560" s="1" t="s">
        <v>795</v>
      </c>
      <c r="D560" s="2" t="str">
        <f>HYPERLINK("https://inventaire.cncp.gouv.fr/fiches/3023/","3023")</f>
        <v>3023</v>
      </c>
      <c r="E560" s="2" t="str">
        <f>HYPERLINK("http://www.intercariforef.org/formations/certification-98619.html","98619")</f>
        <v>98619</v>
      </c>
      <c r="F560" s="3">
        <v>43038</v>
      </c>
      <c r="G560" s="3">
        <v>43038</v>
      </c>
    </row>
    <row r="561" spans="1:7" x14ac:dyDescent="0.3">
      <c r="A561" s="1" t="s">
        <v>755</v>
      </c>
      <c r="B561" s="1" t="s">
        <v>796</v>
      </c>
      <c r="C561" s="1" t="s">
        <v>377</v>
      </c>
      <c r="D561" s="2" t="str">
        <f>HYPERLINK("https://inventaire.cncp.gouv.fr/fiches/110/","110")</f>
        <v>110</v>
      </c>
      <c r="E561" s="2" t="str">
        <f>HYPERLINK("http://www.intercariforef.org/formations/certification-85538.html","85538")</f>
        <v>85538</v>
      </c>
      <c r="F561" s="3">
        <v>42269</v>
      </c>
      <c r="G561" s="3">
        <v>43293</v>
      </c>
    </row>
    <row r="562" spans="1:7" x14ac:dyDescent="0.3">
      <c r="A562" s="1" t="s">
        <v>755</v>
      </c>
      <c r="B562" s="1" t="s">
        <v>797</v>
      </c>
      <c r="C562" s="1" t="s">
        <v>377</v>
      </c>
      <c r="D562" s="2" t="str">
        <f>HYPERLINK("https://inventaire.cncp.gouv.fr/fiches/120/","120")</f>
        <v>120</v>
      </c>
      <c r="E562" s="2" t="str">
        <f>HYPERLINK("http://www.intercariforef.org/formations/certification-85533.html","85533")</f>
        <v>85533</v>
      </c>
      <c r="F562" s="3">
        <v>42269</v>
      </c>
      <c r="G562" s="3">
        <v>43293</v>
      </c>
    </row>
    <row r="563" spans="1:7" x14ac:dyDescent="0.3">
      <c r="A563" s="1" t="s">
        <v>755</v>
      </c>
      <c r="B563" s="1" t="s">
        <v>798</v>
      </c>
      <c r="C563" s="1" t="s">
        <v>377</v>
      </c>
      <c r="D563" s="2" t="str">
        <f>HYPERLINK("https://inventaire.cncp.gouv.fr/fiches/112/","112")</f>
        <v>112</v>
      </c>
      <c r="E563" s="2" t="str">
        <f>HYPERLINK("http://www.intercariforef.org/formations/certification-85536.html","85536")</f>
        <v>85536</v>
      </c>
      <c r="F563" s="3">
        <v>42269</v>
      </c>
      <c r="G563" s="3">
        <v>43293</v>
      </c>
    </row>
    <row r="564" spans="1:7" x14ac:dyDescent="0.3">
      <c r="A564" s="1" t="s">
        <v>755</v>
      </c>
      <c r="B564" s="1" t="s">
        <v>799</v>
      </c>
      <c r="C564" s="1" t="s">
        <v>377</v>
      </c>
      <c r="D564" s="2" t="str">
        <f>HYPERLINK("https://inventaire.cncp.gouv.fr/fiches/3809/","3809")</f>
        <v>3809</v>
      </c>
      <c r="E564" s="2" t="str">
        <f>HYPERLINK("http://www.intercariforef.org/formations/certification-102165.html","102165")</f>
        <v>102165</v>
      </c>
      <c r="F564" s="3">
        <v>43293</v>
      </c>
      <c r="G564" s="3">
        <v>43293</v>
      </c>
    </row>
    <row r="565" spans="1:7" x14ac:dyDescent="0.3">
      <c r="A565" s="1" t="s">
        <v>755</v>
      </c>
      <c r="B565" s="1" t="s">
        <v>800</v>
      </c>
      <c r="C565" s="1" t="s">
        <v>801</v>
      </c>
      <c r="D565" s="2" t="str">
        <f>HYPERLINK("https://inventaire.cncp.gouv.fr/fiches/3614/","3614")</f>
        <v>3614</v>
      </c>
      <c r="E565" s="2" t="str">
        <f>HYPERLINK("http://www.intercariforef.org/formations/certification-102543.html","102543")</f>
        <v>102543</v>
      </c>
      <c r="F565" s="3">
        <v>43298</v>
      </c>
      <c r="G565" s="3">
        <v>43298</v>
      </c>
    </row>
    <row r="566" spans="1:7" x14ac:dyDescent="0.3">
      <c r="A566" s="1" t="s">
        <v>755</v>
      </c>
      <c r="B566" s="1" t="s">
        <v>802</v>
      </c>
      <c r="C566" s="1" t="s">
        <v>803</v>
      </c>
      <c r="D566" s="2" t="str">
        <f>HYPERLINK("https://inventaire.cncp.gouv.fr/fiches/3872/","3872")</f>
        <v>3872</v>
      </c>
      <c r="E566" s="2" t="str">
        <f>HYPERLINK("http://www.intercariforef.org/formations/certification-103943.html","103943")</f>
        <v>103943</v>
      </c>
      <c r="F566" s="3">
        <v>43390</v>
      </c>
      <c r="G566" s="3">
        <v>43390</v>
      </c>
    </row>
    <row r="567" spans="1:7" x14ac:dyDescent="0.3">
      <c r="A567" s="1" t="s">
        <v>755</v>
      </c>
      <c r="B567" s="1" t="s">
        <v>804</v>
      </c>
      <c r="C567" s="1" t="s">
        <v>805</v>
      </c>
      <c r="D567" s="2" t="str">
        <f>HYPERLINK("https://inventaire.cncp.gouv.fr/fiches/2548/","2548")</f>
        <v>2548</v>
      </c>
      <c r="E567" s="2" t="str">
        <f>HYPERLINK("http://www.intercariforef.org/formations/certification-96435.html","96435")</f>
        <v>96435</v>
      </c>
      <c r="F567" s="3">
        <v>42923</v>
      </c>
      <c r="G567" s="3">
        <v>42923</v>
      </c>
    </row>
    <row r="568" spans="1:7" x14ac:dyDescent="0.3">
      <c r="A568" s="1" t="s">
        <v>755</v>
      </c>
      <c r="B568" s="1" t="s">
        <v>806</v>
      </c>
      <c r="C568" s="1" t="s">
        <v>730</v>
      </c>
      <c r="D568" s="2" t="str">
        <f>HYPERLINK("https://inventaire.cncp.gouv.fr/fiches/2496/","2496")</f>
        <v>2496</v>
      </c>
      <c r="E568" s="2" t="str">
        <f>HYPERLINK("http://www.intercariforef.org/formations/certification-93789.html","93789")</f>
        <v>93789</v>
      </c>
      <c r="F568" s="3">
        <v>42725</v>
      </c>
      <c r="G568" s="3">
        <v>42725</v>
      </c>
    </row>
    <row r="569" spans="1:7" ht="26.2" x14ac:dyDescent="0.3">
      <c r="A569" s="1" t="s">
        <v>755</v>
      </c>
      <c r="B569" s="1" t="s">
        <v>807</v>
      </c>
      <c r="C569" s="1" t="s">
        <v>730</v>
      </c>
      <c r="D569" s="2" t="str">
        <f>HYPERLINK("https://inventaire.cncp.gouv.fr/fiches/2977/","2977")</f>
        <v>2977</v>
      </c>
      <c r="E569" s="2" t="str">
        <f>HYPERLINK("http://www.intercariforef.org/formations/certification-99251.html","99251")</f>
        <v>99251</v>
      </c>
      <c r="F569" s="3">
        <v>43080</v>
      </c>
      <c r="G569" s="3">
        <v>43080</v>
      </c>
    </row>
    <row r="570" spans="1:7" ht="26.2" x14ac:dyDescent="0.3">
      <c r="A570" s="1" t="s">
        <v>755</v>
      </c>
      <c r="B570" s="1" t="s">
        <v>808</v>
      </c>
      <c r="C570" s="1" t="s">
        <v>730</v>
      </c>
      <c r="D570" s="2" t="str">
        <f>HYPERLINK("https://inventaire.cncp.gouv.fr/fiches/2981/","2981")</f>
        <v>2981</v>
      </c>
      <c r="E570" s="2" t="str">
        <f>HYPERLINK("http://www.intercariforef.org/formations/certification-101215.html","101215")</f>
        <v>101215</v>
      </c>
      <c r="F570" s="3">
        <v>43251</v>
      </c>
      <c r="G570" s="3">
        <v>43251</v>
      </c>
    </row>
    <row r="571" spans="1:7" x14ac:dyDescent="0.3">
      <c r="A571" s="1" t="s">
        <v>755</v>
      </c>
      <c r="B571" s="1" t="s">
        <v>809</v>
      </c>
      <c r="C571" s="1" t="s">
        <v>810</v>
      </c>
      <c r="D571" s="2" t="str">
        <f>HYPERLINK("https://inventaire.cncp.gouv.fr/fiches/1583/","1583")</f>
        <v>1583</v>
      </c>
      <c r="E571" s="2" t="str">
        <f>HYPERLINK("http://www.intercariforef.org/formations/certification-88203.html","88203")</f>
        <v>88203</v>
      </c>
      <c r="F571" s="3">
        <v>42450</v>
      </c>
      <c r="G571" s="3">
        <v>42718</v>
      </c>
    </row>
    <row r="572" spans="1:7" x14ac:dyDescent="0.3">
      <c r="A572" s="1" t="s">
        <v>755</v>
      </c>
      <c r="B572" s="1" t="s">
        <v>811</v>
      </c>
      <c r="C572" s="1" t="s">
        <v>812</v>
      </c>
      <c r="D572" s="2" t="str">
        <f>HYPERLINK("https://inventaire.cncp.gouv.fr/fiches/354/","354")</f>
        <v>354</v>
      </c>
      <c r="E572" s="2" t="str">
        <f>HYPERLINK("http://www.intercariforef.org/formations/certification-84572.html","84572")</f>
        <v>84572</v>
      </c>
      <c r="F572" s="3">
        <v>42129</v>
      </c>
      <c r="G572" s="3">
        <v>42979</v>
      </c>
    </row>
    <row r="573" spans="1:7" x14ac:dyDescent="0.3">
      <c r="A573" s="1" t="s">
        <v>755</v>
      </c>
      <c r="B573" s="1" t="s">
        <v>813</v>
      </c>
      <c r="C573" s="1" t="s">
        <v>812</v>
      </c>
      <c r="D573" s="2" t="str">
        <f>HYPERLINK("https://inventaire.cncp.gouv.fr/fiches/359/","359")</f>
        <v>359</v>
      </c>
      <c r="E573" s="2" t="str">
        <f>HYPERLINK("http://www.intercariforef.org/formations/certification-84573.html","84573")</f>
        <v>84573</v>
      </c>
      <c r="F573" s="3">
        <v>42129</v>
      </c>
      <c r="G573" s="3">
        <v>42979</v>
      </c>
    </row>
    <row r="574" spans="1:7" x14ac:dyDescent="0.3">
      <c r="A574" s="1" t="s">
        <v>755</v>
      </c>
      <c r="B574" s="1" t="s">
        <v>814</v>
      </c>
      <c r="C574" s="1" t="s">
        <v>812</v>
      </c>
      <c r="D574" s="2" t="str">
        <f>HYPERLINK("https://inventaire.cncp.gouv.fr/fiches/361/","361")</f>
        <v>361</v>
      </c>
      <c r="E574" s="2" t="str">
        <f>HYPERLINK("http://www.intercariforef.org/formations/certification-84571.html","84571")</f>
        <v>84571</v>
      </c>
      <c r="F574" s="3">
        <v>42129</v>
      </c>
      <c r="G574" s="3">
        <v>42979</v>
      </c>
    </row>
    <row r="575" spans="1:7" x14ac:dyDescent="0.3">
      <c r="A575" s="1" t="s">
        <v>755</v>
      </c>
      <c r="B575" s="1" t="s">
        <v>815</v>
      </c>
      <c r="C575" s="1" t="s">
        <v>816</v>
      </c>
      <c r="D575" s="2" t="str">
        <f>HYPERLINK("https://inventaire.cncp.gouv.fr/fiches/2770/","2770")</f>
        <v>2770</v>
      </c>
      <c r="E575" s="2" t="str">
        <f>HYPERLINK("http://www.intercariforef.org/formations/certification-94789.html","94789")</f>
        <v>94789</v>
      </c>
      <c r="F575" s="3">
        <v>42836</v>
      </c>
      <c r="G575" s="3">
        <v>42836</v>
      </c>
    </row>
    <row r="576" spans="1:7" x14ac:dyDescent="0.3">
      <c r="A576" s="1" t="s">
        <v>755</v>
      </c>
      <c r="B576" s="1" t="s">
        <v>817</v>
      </c>
      <c r="C576" s="1" t="s">
        <v>816</v>
      </c>
      <c r="D576" s="2" t="str">
        <f>HYPERLINK("https://inventaire.cncp.gouv.fr/fiches/3180/","3180")</f>
        <v>3180</v>
      </c>
      <c r="E576" s="2" t="str">
        <f>HYPERLINK("http://www.intercariforef.org/formations/certification-99205.html","99205")</f>
        <v>99205</v>
      </c>
      <c r="F576" s="3">
        <v>43076</v>
      </c>
      <c r="G576" s="3">
        <v>43076</v>
      </c>
    </row>
    <row r="577" spans="1:7" x14ac:dyDescent="0.3">
      <c r="A577" s="1" t="s">
        <v>755</v>
      </c>
      <c r="B577" s="1" t="s">
        <v>818</v>
      </c>
      <c r="C577" s="1" t="s">
        <v>816</v>
      </c>
      <c r="D577" s="2" t="str">
        <f>HYPERLINK("https://inventaire.cncp.gouv.fr/fiches/3178/","3178")</f>
        <v>3178</v>
      </c>
      <c r="E577" s="2" t="str">
        <f>HYPERLINK("http://www.intercariforef.org/formations/certification-99207.html","99207")</f>
        <v>99207</v>
      </c>
      <c r="F577" s="3">
        <v>43076</v>
      </c>
      <c r="G577" s="3">
        <v>43076</v>
      </c>
    </row>
    <row r="578" spans="1:7" x14ac:dyDescent="0.3">
      <c r="A578" s="1" t="s">
        <v>755</v>
      </c>
      <c r="B578" s="1" t="s">
        <v>819</v>
      </c>
      <c r="C578" s="1" t="s">
        <v>816</v>
      </c>
      <c r="D578" s="2" t="str">
        <f>HYPERLINK("https://inventaire.cncp.gouv.fr/fiches/3213/","3213")</f>
        <v>3213</v>
      </c>
      <c r="E578" s="2" t="str">
        <f>HYPERLINK("http://www.intercariforef.org/formations/certification-99193.html","99193")</f>
        <v>99193</v>
      </c>
      <c r="F578" s="3">
        <v>43076</v>
      </c>
      <c r="G578" s="3">
        <v>43076</v>
      </c>
    </row>
    <row r="579" spans="1:7" x14ac:dyDescent="0.3">
      <c r="A579" s="1" t="s">
        <v>755</v>
      </c>
      <c r="B579" s="1" t="s">
        <v>820</v>
      </c>
      <c r="C579" s="1" t="s">
        <v>821</v>
      </c>
      <c r="D579" s="2" t="str">
        <f>HYPERLINK("https://inventaire.cncp.gouv.fr/fiches/122/","122")</f>
        <v>122</v>
      </c>
      <c r="E579" s="2" t="str">
        <f>HYPERLINK("http://www.intercariforef.org/formations/certification-84999.html","84999")</f>
        <v>84999</v>
      </c>
      <c r="F579" s="3">
        <v>42184</v>
      </c>
      <c r="G579" s="3">
        <v>42184</v>
      </c>
    </row>
    <row r="580" spans="1:7" x14ac:dyDescent="0.3">
      <c r="A580" s="1" t="s">
        <v>755</v>
      </c>
      <c r="B580" s="1" t="s">
        <v>822</v>
      </c>
      <c r="C580" s="1" t="s">
        <v>470</v>
      </c>
      <c r="D580" s="2" t="str">
        <f>HYPERLINK("https://inventaire.cncp.gouv.fr/fiches/1784/","1784")</f>
        <v>1784</v>
      </c>
      <c r="E580" s="2" t="str">
        <f>HYPERLINK("http://www.intercariforef.org/formations/certification-88617.html","88617")</f>
        <v>88617</v>
      </c>
      <c r="F580" s="3">
        <v>42485</v>
      </c>
      <c r="G580" s="3">
        <v>42718</v>
      </c>
    </row>
    <row r="581" spans="1:7" x14ac:dyDescent="0.3">
      <c r="A581" s="1" t="s">
        <v>755</v>
      </c>
      <c r="B581" s="1" t="s">
        <v>823</v>
      </c>
      <c r="C581" s="1" t="s">
        <v>824</v>
      </c>
      <c r="D581" s="2" t="str">
        <f>HYPERLINK("https://inventaire.cncp.gouv.fr/fiches/1964/","1964")</f>
        <v>1964</v>
      </c>
      <c r="E581" s="2" t="str">
        <f>HYPERLINK("http://www.intercariforef.org/formations/certification-90059.html","90059")</f>
        <v>90059</v>
      </c>
      <c r="F581" s="3">
        <v>42558</v>
      </c>
      <c r="G581" s="3">
        <v>42718</v>
      </c>
    </row>
    <row r="582" spans="1:7" ht="26.2" x14ac:dyDescent="0.3">
      <c r="A582" s="1" t="s">
        <v>755</v>
      </c>
      <c r="B582" s="1" t="s">
        <v>825</v>
      </c>
      <c r="C582" s="1" t="s">
        <v>334</v>
      </c>
      <c r="D582" s="2" t="str">
        <f>HYPERLINK("https://inventaire.cncp.gouv.fr/fiches/2923/","2923")</f>
        <v>2923</v>
      </c>
      <c r="E582" s="2" t="str">
        <f>HYPERLINK("http://www.intercariforef.org/formations/certification-62331.html","62331")</f>
        <v>62331</v>
      </c>
      <c r="F582" s="3">
        <v>39828</v>
      </c>
      <c r="G582" s="3">
        <v>43125</v>
      </c>
    </row>
    <row r="583" spans="1:7" ht="26.2" x14ac:dyDescent="0.3">
      <c r="A583" s="1" t="s">
        <v>755</v>
      </c>
      <c r="B583" s="1" t="s">
        <v>826</v>
      </c>
      <c r="C583" s="1" t="s">
        <v>334</v>
      </c>
      <c r="D583" s="2" t="str">
        <f>HYPERLINK("https://inventaire.cncp.gouv.fr/fiches/2923/","2923")</f>
        <v>2923</v>
      </c>
      <c r="E583" s="2" t="str">
        <f>HYPERLINK("http://www.intercariforef.org/formations/certification-62326.html","62326")</f>
        <v>62326</v>
      </c>
      <c r="F583" s="3">
        <v>39828</v>
      </c>
      <c r="G583" s="3">
        <v>43125</v>
      </c>
    </row>
    <row r="584" spans="1:7" x14ac:dyDescent="0.3">
      <c r="A584" s="1" t="s">
        <v>755</v>
      </c>
      <c r="B584" s="1" t="s">
        <v>827</v>
      </c>
      <c r="C584" s="1" t="s">
        <v>828</v>
      </c>
      <c r="D584" s="2" t="str">
        <f>HYPERLINK("https://inventaire.cncp.gouv.fr/fiches/2316/","2316")</f>
        <v>2316</v>
      </c>
      <c r="E584" s="2" t="str">
        <f>HYPERLINK("http://www.intercariforef.org/formations/certification-93939.html","93939")</f>
        <v>93939</v>
      </c>
      <c r="F584" s="3">
        <v>42744</v>
      </c>
      <c r="G584" s="3">
        <v>42744</v>
      </c>
    </row>
    <row r="585" spans="1:7" x14ac:dyDescent="0.3">
      <c r="A585" s="1" t="s">
        <v>755</v>
      </c>
      <c r="B585" s="1" t="s">
        <v>829</v>
      </c>
      <c r="C585" s="1" t="s">
        <v>830</v>
      </c>
      <c r="D585" s="2" t="str">
        <f>HYPERLINK("https://inventaire.cncp.gouv.fr/fiches/2301/","2301")</f>
        <v>2301</v>
      </c>
      <c r="E585" s="2" t="str">
        <f>HYPERLINK("http://www.intercariforef.org/formations/certification-93769.html","93769")</f>
        <v>93769</v>
      </c>
      <c r="F585" s="3">
        <v>42725</v>
      </c>
      <c r="G585" s="3">
        <v>42725</v>
      </c>
    </row>
    <row r="586" spans="1:7" ht="26.2" x14ac:dyDescent="0.3">
      <c r="A586" s="1" t="s">
        <v>755</v>
      </c>
      <c r="B586" s="1" t="s">
        <v>831</v>
      </c>
      <c r="C586" s="1" t="s">
        <v>830</v>
      </c>
      <c r="D586" s="2" t="str">
        <f>HYPERLINK("https://inventaire.cncp.gouv.fr/fiches/2303/","2303")</f>
        <v>2303</v>
      </c>
      <c r="E586" s="2" t="str">
        <f>HYPERLINK("http://www.intercariforef.org/formations/certification-93767.html","93767")</f>
        <v>93767</v>
      </c>
      <c r="F586" s="3">
        <v>42725</v>
      </c>
      <c r="G586" s="3">
        <v>42725</v>
      </c>
    </row>
    <row r="587" spans="1:7" x14ac:dyDescent="0.3">
      <c r="A587" s="1" t="s">
        <v>755</v>
      </c>
      <c r="B587" s="1" t="s">
        <v>832</v>
      </c>
      <c r="C587" s="1" t="s">
        <v>75</v>
      </c>
      <c r="D587" s="2" t="str">
        <f>HYPERLINK("https://inventaire.cncp.gouv.fr/fiches/3975/","3975")</f>
        <v>3975</v>
      </c>
      <c r="E587" s="2" t="str">
        <f>HYPERLINK("http://www.intercariforef.org/formations/certification-103919.html","103919")</f>
        <v>103919</v>
      </c>
      <c r="F587" s="3">
        <v>43390</v>
      </c>
      <c r="G587" s="3">
        <v>43390</v>
      </c>
    </row>
    <row r="588" spans="1:7" x14ac:dyDescent="0.3">
      <c r="A588" s="1" t="s">
        <v>755</v>
      </c>
      <c r="B588" s="1" t="s">
        <v>833</v>
      </c>
      <c r="C588" s="1" t="s">
        <v>331</v>
      </c>
      <c r="D588" s="2" t="str">
        <f>HYPERLINK("https://inventaire.cncp.gouv.fr/fiches/2908/","2908")</f>
        <v>2908</v>
      </c>
      <c r="E588" s="2" t="str">
        <f>HYPERLINK("http://www.intercariforef.org/formations/certification-98629.html","98629")</f>
        <v>98629</v>
      </c>
      <c r="F588" s="3">
        <v>43038</v>
      </c>
      <c r="G588" s="3">
        <v>43038</v>
      </c>
    </row>
    <row r="589" spans="1:7" x14ac:dyDescent="0.3">
      <c r="A589" s="1" t="s">
        <v>755</v>
      </c>
      <c r="B589" s="1" t="s">
        <v>834</v>
      </c>
      <c r="C589" s="1" t="s">
        <v>835</v>
      </c>
      <c r="D589" s="2" t="str">
        <f>HYPERLINK("https://inventaire.cncp.gouv.fr/fiches/2636/","2636")</f>
        <v>2636</v>
      </c>
      <c r="E589" s="2" t="str">
        <f>HYPERLINK("http://www.intercariforef.org/formations/certification-94891.html","94891")</f>
        <v>94891</v>
      </c>
      <c r="F589" s="3">
        <v>42836</v>
      </c>
      <c r="G589" s="3">
        <v>42836</v>
      </c>
    </row>
    <row r="590" spans="1:7" x14ac:dyDescent="0.3">
      <c r="A590" s="1" t="s">
        <v>755</v>
      </c>
      <c r="B590" s="1" t="s">
        <v>836</v>
      </c>
      <c r="C590" s="1" t="s">
        <v>75</v>
      </c>
      <c r="D590" s="2" t="str">
        <f>HYPERLINK("https://inventaire.cncp.gouv.fr/fiches/3028/","3028")</f>
        <v>3028</v>
      </c>
      <c r="E590" s="2" t="str">
        <f>HYPERLINK("http://www.intercariforef.org/formations/certification-100069.html","100069")</f>
        <v>100069</v>
      </c>
      <c r="F590" s="3">
        <v>43152</v>
      </c>
      <c r="G590" s="3">
        <v>43152</v>
      </c>
    </row>
    <row r="591" spans="1:7" x14ac:dyDescent="0.3">
      <c r="A591" s="1" t="s">
        <v>755</v>
      </c>
      <c r="B591" s="1" t="s">
        <v>837</v>
      </c>
      <c r="C591" s="1" t="s">
        <v>75</v>
      </c>
      <c r="D591" s="2" t="str">
        <f>HYPERLINK("https://inventaire.cncp.gouv.fr/fiches/3026/","3026")</f>
        <v>3026</v>
      </c>
      <c r="E591" s="2" t="str">
        <f>HYPERLINK("http://www.intercariforef.org/formations/certification-100071.html","100071")</f>
        <v>100071</v>
      </c>
      <c r="F591" s="3">
        <v>43152</v>
      </c>
      <c r="G591" s="3">
        <v>43152</v>
      </c>
    </row>
    <row r="592" spans="1:7" ht="26.2" x14ac:dyDescent="0.3">
      <c r="A592" s="1" t="s">
        <v>755</v>
      </c>
      <c r="B592" s="1" t="s">
        <v>838</v>
      </c>
      <c r="C592" s="1" t="s">
        <v>839</v>
      </c>
      <c r="D592" s="2" t="str">
        <f>HYPERLINK("https://inventaire.cncp.gouv.fr/fiches/2809/","2809")</f>
        <v>2809</v>
      </c>
      <c r="E592" s="2" t="str">
        <f>HYPERLINK("http://www.intercariforef.org/formations/certification-95427.html","95427")</f>
        <v>95427</v>
      </c>
      <c r="F592" s="3">
        <v>42884</v>
      </c>
      <c r="G592" s="3">
        <v>42884</v>
      </c>
    </row>
    <row r="593" spans="1:7" ht="26.2" x14ac:dyDescent="0.3">
      <c r="A593" s="1" t="s">
        <v>755</v>
      </c>
      <c r="B593" s="1" t="s">
        <v>840</v>
      </c>
      <c r="C593" s="1" t="s">
        <v>839</v>
      </c>
      <c r="D593" s="2" t="str">
        <f>HYPERLINK("https://inventaire.cncp.gouv.fr/fiches/2814/","2814")</f>
        <v>2814</v>
      </c>
      <c r="E593" s="2" t="str">
        <f>HYPERLINK("http://www.intercariforef.org/formations/certification-95429.html","95429")</f>
        <v>95429</v>
      </c>
      <c r="F593" s="3">
        <v>42884</v>
      </c>
      <c r="G593" s="3">
        <v>42884</v>
      </c>
    </row>
    <row r="594" spans="1:7" x14ac:dyDescent="0.3">
      <c r="A594" s="1" t="s">
        <v>755</v>
      </c>
      <c r="B594" s="1" t="s">
        <v>841</v>
      </c>
      <c r="C594" s="1" t="s">
        <v>842</v>
      </c>
      <c r="D594" s="2" t="str">
        <f>HYPERLINK("https://inventaire.cncp.gouv.fr/fiches/3202/","3202")</f>
        <v>3202</v>
      </c>
      <c r="E594" s="2" t="str">
        <f>HYPERLINK("http://www.intercariforef.org/formations/certification-104043.html","104043")</f>
        <v>104043</v>
      </c>
      <c r="F594" s="3">
        <v>43392</v>
      </c>
      <c r="G594" s="3">
        <v>43392</v>
      </c>
    </row>
    <row r="595" spans="1:7" x14ac:dyDescent="0.3">
      <c r="A595" s="1" t="s">
        <v>755</v>
      </c>
      <c r="B595" s="1" t="s">
        <v>843</v>
      </c>
      <c r="C595" s="1" t="s">
        <v>842</v>
      </c>
      <c r="D595" s="2" t="str">
        <f>HYPERLINK("https://inventaire.cncp.gouv.fr/fiches/3209/","3209")</f>
        <v>3209</v>
      </c>
      <c r="E595" s="2" t="str">
        <f>HYPERLINK("http://www.intercariforef.org/formations/certification-104037.html","104037")</f>
        <v>104037</v>
      </c>
      <c r="F595" s="3">
        <v>43392</v>
      </c>
      <c r="G595" s="3">
        <v>43392</v>
      </c>
    </row>
    <row r="596" spans="1:7" ht="26.2" x14ac:dyDescent="0.3">
      <c r="A596" s="1" t="s">
        <v>755</v>
      </c>
      <c r="B596" s="1" t="s">
        <v>844</v>
      </c>
      <c r="C596" s="1" t="s">
        <v>842</v>
      </c>
      <c r="D596" s="2" t="str">
        <f>HYPERLINK("https://inventaire.cncp.gouv.fr/fiches/3198/","3198")</f>
        <v>3198</v>
      </c>
      <c r="E596" s="2" t="str">
        <f>HYPERLINK("http://www.intercariforef.org/formations/certification-104045.html","104045")</f>
        <v>104045</v>
      </c>
      <c r="F596" s="3">
        <v>43392</v>
      </c>
      <c r="G596" s="3">
        <v>43392</v>
      </c>
    </row>
    <row r="597" spans="1:7" ht="26.2" x14ac:dyDescent="0.3">
      <c r="A597" s="1" t="s">
        <v>755</v>
      </c>
      <c r="B597" s="1" t="s">
        <v>845</v>
      </c>
      <c r="C597" s="1" t="s">
        <v>846</v>
      </c>
      <c r="D597" s="2" t="str">
        <f>HYPERLINK("https://inventaire.cncp.gouv.fr/fiches/2644/","2644")</f>
        <v>2644</v>
      </c>
      <c r="E597" s="2" t="str">
        <f>HYPERLINK("http://www.intercariforef.org/formations/certification-101217.html","101217")</f>
        <v>101217</v>
      </c>
      <c r="F597" s="3">
        <v>43251</v>
      </c>
      <c r="G597" s="3">
        <v>43251</v>
      </c>
    </row>
    <row r="598" spans="1:7" x14ac:dyDescent="0.3">
      <c r="A598" s="1" t="s">
        <v>755</v>
      </c>
      <c r="B598" s="1" t="s">
        <v>847</v>
      </c>
      <c r="C598" s="1" t="s">
        <v>848</v>
      </c>
      <c r="D598" s="2" t="str">
        <f>HYPERLINK("https://inventaire.cncp.gouv.fr/fiches/2518/","2518")</f>
        <v>2518</v>
      </c>
      <c r="E598" s="2" t="str">
        <f>HYPERLINK("http://www.intercariforef.org/formations/certification-97087.html","97087")</f>
        <v>97087</v>
      </c>
      <c r="F598" s="3">
        <v>43003</v>
      </c>
      <c r="G598" s="3">
        <v>43003</v>
      </c>
    </row>
    <row r="599" spans="1:7" x14ac:dyDescent="0.3">
      <c r="A599" s="1" t="s">
        <v>755</v>
      </c>
      <c r="B599" s="1" t="s">
        <v>849</v>
      </c>
      <c r="C599" s="1" t="s">
        <v>850</v>
      </c>
      <c r="D599" s="2" t="str">
        <f>HYPERLINK("https://inventaire.cncp.gouv.fr/fiches/1449/","1449")</f>
        <v>1449</v>
      </c>
      <c r="E599" s="2" t="str">
        <f>HYPERLINK("http://www.intercariforef.org/formations/certification-88509.html","88509")</f>
        <v>88509</v>
      </c>
      <c r="F599" s="3">
        <v>42466</v>
      </c>
      <c r="G599" s="3">
        <v>42466</v>
      </c>
    </row>
    <row r="600" spans="1:7" x14ac:dyDescent="0.3">
      <c r="A600" s="1" t="s">
        <v>755</v>
      </c>
      <c r="B600" s="1" t="s">
        <v>851</v>
      </c>
      <c r="C600" s="1" t="s">
        <v>75</v>
      </c>
      <c r="D600" s="2" t="str">
        <f>HYPERLINK("https://inventaire.cncp.gouv.fr/fiches/3977/","3977")</f>
        <v>3977</v>
      </c>
      <c r="E600" s="2" t="str">
        <f>HYPERLINK("http://www.intercariforef.org/formations/certification-103917.html","103917")</f>
        <v>103917</v>
      </c>
      <c r="F600" s="3">
        <v>43390</v>
      </c>
      <c r="G600" s="3">
        <v>43390</v>
      </c>
    </row>
    <row r="601" spans="1:7" x14ac:dyDescent="0.3">
      <c r="A601" s="1" t="s">
        <v>755</v>
      </c>
      <c r="B601" s="1" t="s">
        <v>852</v>
      </c>
      <c r="C601" s="1" t="s">
        <v>698</v>
      </c>
      <c r="D601" s="2" t="str">
        <f>HYPERLINK("https://inventaire.cncp.gouv.fr/fiches/2539/","2539")</f>
        <v>2539</v>
      </c>
      <c r="E601" s="2" t="str">
        <f>HYPERLINK("http://www.intercariforef.org/formations/certification-94933.html","94933")</f>
        <v>94933</v>
      </c>
      <c r="F601" s="3">
        <v>42837</v>
      </c>
      <c r="G601" s="3">
        <v>42837</v>
      </c>
    </row>
    <row r="602" spans="1:7" x14ac:dyDescent="0.3">
      <c r="A602" s="1" t="s">
        <v>755</v>
      </c>
      <c r="B602" s="1" t="s">
        <v>853</v>
      </c>
      <c r="C602" s="1" t="s">
        <v>854</v>
      </c>
      <c r="D602" s="2" t="str">
        <f>HYPERLINK("https://inventaire.cncp.gouv.fr/fiches/3836/","3836")</f>
        <v>3836</v>
      </c>
      <c r="E602" s="2" t="str">
        <f>HYPERLINK("http://www.intercariforef.org/formations/certification-104075.html","104075")</f>
        <v>104075</v>
      </c>
      <c r="F602" s="3">
        <v>43396</v>
      </c>
      <c r="G602" s="3">
        <v>43396</v>
      </c>
    </row>
    <row r="603" spans="1:7" x14ac:dyDescent="0.3">
      <c r="A603" s="1" t="s">
        <v>755</v>
      </c>
      <c r="B603" s="1" t="s">
        <v>855</v>
      </c>
      <c r="C603" s="1" t="s">
        <v>856</v>
      </c>
      <c r="D603" s="2" t="str">
        <f>HYPERLINK("https://inventaire.cncp.gouv.fr/fiches/3403/","3403")</f>
        <v>3403</v>
      </c>
      <c r="E603" s="2" t="str">
        <f>HYPERLINK("http://www.intercariforef.org/formations/certification-101179.html","101179")</f>
        <v>101179</v>
      </c>
      <c r="F603" s="3">
        <v>43250</v>
      </c>
      <c r="G603" s="3">
        <v>43250</v>
      </c>
    </row>
    <row r="604" spans="1:7" x14ac:dyDescent="0.3">
      <c r="A604" s="1" t="s">
        <v>755</v>
      </c>
      <c r="B604" s="1" t="s">
        <v>857</v>
      </c>
      <c r="C604" s="1" t="s">
        <v>413</v>
      </c>
      <c r="D604" s="2" t="str">
        <f>HYPERLINK("https://inventaire.cncp.gouv.fr/fiches/3506/","3506")</f>
        <v>3506</v>
      </c>
      <c r="E604" s="2" t="str">
        <f>HYPERLINK("http://www.intercariforef.org/formations/certification-102635.html","102635")</f>
        <v>102635</v>
      </c>
      <c r="F604" s="3">
        <v>43299</v>
      </c>
      <c r="G604" s="3">
        <v>43299</v>
      </c>
    </row>
    <row r="605" spans="1:7" x14ac:dyDescent="0.3">
      <c r="A605" s="1" t="s">
        <v>755</v>
      </c>
      <c r="B605" s="1" t="s">
        <v>858</v>
      </c>
      <c r="C605" s="1" t="s">
        <v>859</v>
      </c>
      <c r="D605" s="2" t="str">
        <f>HYPERLINK("https://inventaire.cncp.gouv.fr/fiches/3339/","3339")</f>
        <v>3339</v>
      </c>
      <c r="E605" s="2" t="str">
        <f>HYPERLINK("http://www.intercariforef.org/formations/certification-100165.html","100165")</f>
        <v>100165</v>
      </c>
      <c r="F605" s="3">
        <v>43154</v>
      </c>
      <c r="G605" s="3">
        <v>43154</v>
      </c>
    </row>
    <row r="606" spans="1:7" x14ac:dyDescent="0.3">
      <c r="A606" s="1" t="s">
        <v>755</v>
      </c>
      <c r="B606" s="1" t="s">
        <v>860</v>
      </c>
      <c r="C606" s="1" t="s">
        <v>429</v>
      </c>
      <c r="D606" s="2" t="str">
        <f>HYPERLINK("https://inventaire.cncp.gouv.fr/fiches/2100/","2100")</f>
        <v>2100</v>
      </c>
      <c r="E606" s="2" t="str">
        <f>HYPERLINK("http://www.intercariforef.org/formations/certification-94849.html","94849")</f>
        <v>94849</v>
      </c>
      <c r="F606" s="3">
        <v>42836</v>
      </c>
      <c r="G606" s="3">
        <v>43046</v>
      </c>
    </row>
    <row r="607" spans="1:7" x14ac:dyDescent="0.3">
      <c r="A607" s="1" t="s">
        <v>755</v>
      </c>
      <c r="B607" s="1" t="s">
        <v>861</v>
      </c>
      <c r="C607" s="1" t="s">
        <v>862</v>
      </c>
      <c r="D607" s="2" t="str">
        <f>HYPERLINK("https://inventaire.cncp.gouv.fr/fiches/1730/","1730")</f>
        <v>1730</v>
      </c>
      <c r="E607" s="2" t="str">
        <f>HYPERLINK("http://www.intercariforef.org/formations/certification-96433.html","96433")</f>
        <v>96433</v>
      </c>
      <c r="F607" s="3">
        <v>42923</v>
      </c>
      <c r="G607" s="3">
        <v>42923</v>
      </c>
    </row>
    <row r="608" spans="1:7" x14ac:dyDescent="0.3">
      <c r="A608" s="1" t="s">
        <v>755</v>
      </c>
      <c r="B608" s="1" t="s">
        <v>863</v>
      </c>
      <c r="C608" s="1" t="s">
        <v>350</v>
      </c>
      <c r="D608" s="2" t="str">
        <f>HYPERLINK("https://inventaire.cncp.gouv.fr/fiches/2842/","2842")</f>
        <v>2842</v>
      </c>
      <c r="E608" s="2" t="str">
        <f>HYPERLINK("http://www.intercariforef.org/formations/certification-98593.html","98593")</f>
        <v>98593</v>
      </c>
      <c r="F608" s="3">
        <v>43038</v>
      </c>
      <c r="G608" s="3">
        <v>43392</v>
      </c>
    </row>
    <row r="609" spans="1:7" x14ac:dyDescent="0.3">
      <c r="A609" s="1" t="s">
        <v>755</v>
      </c>
      <c r="B609" s="1" t="s">
        <v>863</v>
      </c>
      <c r="C609" s="1" t="s">
        <v>413</v>
      </c>
      <c r="D609" s="2" t="str">
        <f>HYPERLINK("https://inventaire.cncp.gouv.fr/fiches/3125/","3125")</f>
        <v>3125</v>
      </c>
      <c r="E609" s="2" t="str">
        <f>HYPERLINK("http://www.intercariforef.org/formations/certification-100135.html","100135")</f>
        <v>100135</v>
      </c>
      <c r="F609" s="3">
        <v>43153</v>
      </c>
      <c r="G609" s="3">
        <v>43153</v>
      </c>
    </row>
    <row r="610" spans="1:7" x14ac:dyDescent="0.3">
      <c r="A610" s="1" t="s">
        <v>755</v>
      </c>
      <c r="B610" s="1" t="s">
        <v>864</v>
      </c>
      <c r="C610" s="1" t="s">
        <v>865</v>
      </c>
      <c r="D610" s="2" t="str">
        <f>HYPERLINK("https://inventaire.cncp.gouv.fr/fiches/2413/","2413")</f>
        <v>2413</v>
      </c>
      <c r="E610" s="2" t="str">
        <f>HYPERLINK("http://www.intercariforef.org/formations/certification-94877.html","94877")</f>
        <v>94877</v>
      </c>
      <c r="F610" s="3">
        <v>42836</v>
      </c>
      <c r="G610" s="3">
        <v>42836</v>
      </c>
    </row>
    <row r="611" spans="1:7" x14ac:dyDescent="0.3">
      <c r="A611" s="1" t="s">
        <v>755</v>
      </c>
      <c r="B611" s="1" t="s">
        <v>866</v>
      </c>
      <c r="C611" s="1" t="s">
        <v>470</v>
      </c>
      <c r="D611" s="2" t="str">
        <f>HYPERLINK("https://inventaire.cncp.gouv.fr/fiches/2760/","2760")</f>
        <v>2760</v>
      </c>
      <c r="E611" s="2" t="str">
        <f>HYPERLINK("http://www.intercariforef.org/formations/certification-94807.html","94807")</f>
        <v>94807</v>
      </c>
      <c r="F611" s="3">
        <v>42836</v>
      </c>
      <c r="G611" s="3">
        <v>42836</v>
      </c>
    </row>
    <row r="612" spans="1:7" x14ac:dyDescent="0.3">
      <c r="A612" s="1" t="s">
        <v>755</v>
      </c>
      <c r="B612" s="1" t="s">
        <v>867</v>
      </c>
      <c r="C612" s="1" t="s">
        <v>422</v>
      </c>
      <c r="D612" s="2" t="str">
        <f>HYPERLINK("https://inventaire.cncp.gouv.fr/fiches/3871/","3871")</f>
        <v>3871</v>
      </c>
      <c r="E612" s="2" t="str">
        <f>HYPERLINK("http://www.intercariforef.org/formations/certification-104133.html","104133")</f>
        <v>104133</v>
      </c>
      <c r="F612" s="3">
        <v>43398</v>
      </c>
      <c r="G612" s="3">
        <v>43398</v>
      </c>
    </row>
    <row r="613" spans="1:7" x14ac:dyDescent="0.3">
      <c r="A613" s="1" t="s">
        <v>755</v>
      </c>
      <c r="B613" s="1" t="s">
        <v>868</v>
      </c>
      <c r="C613" s="1" t="s">
        <v>869</v>
      </c>
      <c r="D613" s="2" t="str">
        <f>HYPERLINK("https://inventaire.cncp.gouv.fr/fiches/3018/","3018")</f>
        <v>3018</v>
      </c>
      <c r="E613" s="2" t="str">
        <f>HYPERLINK("http://www.intercariforef.org/formations/certification-100523.html","100523")</f>
        <v>100523</v>
      </c>
      <c r="F613" s="3">
        <v>43186</v>
      </c>
      <c r="G613" s="3">
        <v>43186</v>
      </c>
    </row>
    <row r="614" spans="1:7" ht="26.2" x14ac:dyDescent="0.3">
      <c r="A614" s="1" t="s">
        <v>755</v>
      </c>
      <c r="B614" s="1" t="s">
        <v>870</v>
      </c>
      <c r="C614" s="1" t="s">
        <v>871</v>
      </c>
      <c r="D614" s="2" t="str">
        <f>HYPERLINK("https://inventaire.cncp.gouv.fr/fiches/2357/","2357")</f>
        <v>2357</v>
      </c>
      <c r="E614" s="2" t="str">
        <f>HYPERLINK("http://www.intercariforef.org/formations/certification-98363.html","98363")</f>
        <v>98363</v>
      </c>
      <c r="F614" s="3">
        <v>43027</v>
      </c>
      <c r="G614" s="3">
        <v>43027</v>
      </c>
    </row>
    <row r="615" spans="1:7" x14ac:dyDescent="0.3">
      <c r="A615" s="1" t="s">
        <v>755</v>
      </c>
      <c r="B615" s="1" t="s">
        <v>872</v>
      </c>
      <c r="C615" s="1" t="s">
        <v>709</v>
      </c>
      <c r="D615" s="2" t="str">
        <f>HYPERLINK("https://inventaire.cncp.gouv.fr/fiches/3496/","3496")</f>
        <v>3496</v>
      </c>
      <c r="E615" s="2" t="str">
        <f>HYPERLINK("http://www.intercariforef.org/formations/certification-100651.html","100651")</f>
        <v>100651</v>
      </c>
      <c r="F615" s="3">
        <v>43194</v>
      </c>
      <c r="G615" s="3">
        <v>43194</v>
      </c>
    </row>
    <row r="616" spans="1:7" x14ac:dyDescent="0.3">
      <c r="A616" s="1" t="s">
        <v>755</v>
      </c>
      <c r="B616" s="1" t="s">
        <v>873</v>
      </c>
      <c r="C616" s="1" t="s">
        <v>379</v>
      </c>
      <c r="D616" s="2" t="str">
        <f>HYPERLINK("https://inventaire.cncp.gouv.fr/fiches/2514/","2514")</f>
        <v>2514</v>
      </c>
      <c r="E616" s="2" t="str">
        <f>HYPERLINK("http://www.intercariforef.org/formations/certification-94763.html","94763")</f>
        <v>94763</v>
      </c>
      <c r="F616" s="3">
        <v>42832</v>
      </c>
      <c r="G616" s="3">
        <v>42832</v>
      </c>
    </row>
    <row r="617" spans="1:7" x14ac:dyDescent="0.3">
      <c r="A617" s="1" t="s">
        <v>755</v>
      </c>
      <c r="B617" s="1" t="s">
        <v>874</v>
      </c>
      <c r="C617" s="1" t="s">
        <v>602</v>
      </c>
      <c r="D617" s="2" t="str">
        <f>HYPERLINK("https://inventaire.cncp.gouv.fr/fiches/1057/","1057")</f>
        <v>1057</v>
      </c>
      <c r="E617" s="2" t="str">
        <f>HYPERLINK("http://www.intercariforef.org/formations/certification-86227.html","86227")</f>
        <v>86227</v>
      </c>
      <c r="F617" s="3">
        <v>42324</v>
      </c>
      <c r="G617" s="3">
        <v>42324</v>
      </c>
    </row>
    <row r="618" spans="1:7" x14ac:dyDescent="0.3">
      <c r="A618" s="1" t="s">
        <v>755</v>
      </c>
      <c r="B618" s="1" t="s">
        <v>875</v>
      </c>
      <c r="C618" s="1" t="s">
        <v>602</v>
      </c>
      <c r="D618" s="2" t="str">
        <f>HYPERLINK("https://inventaire.cncp.gouv.fr/fiches/1053/","1053")</f>
        <v>1053</v>
      </c>
      <c r="E618" s="2" t="str">
        <f>HYPERLINK("http://www.intercariforef.org/formations/certification-86226.html","86226")</f>
        <v>86226</v>
      </c>
      <c r="F618" s="3">
        <v>42324</v>
      </c>
      <c r="G618" s="3">
        <v>42324</v>
      </c>
    </row>
    <row r="619" spans="1:7" x14ac:dyDescent="0.3">
      <c r="A619" s="1" t="s">
        <v>755</v>
      </c>
      <c r="B619" s="1" t="s">
        <v>876</v>
      </c>
      <c r="C619" s="1" t="s">
        <v>429</v>
      </c>
      <c r="D619" s="2" t="str">
        <f>HYPERLINK("https://inventaire.cncp.gouv.fr/fiches/2104/","2104")</f>
        <v>2104</v>
      </c>
      <c r="E619" s="2" t="str">
        <f>HYPERLINK("http://www.intercariforef.org/formations/certification-94855.html","94855")</f>
        <v>94855</v>
      </c>
      <c r="F619" s="3">
        <v>42836</v>
      </c>
      <c r="G619" s="3">
        <v>43046</v>
      </c>
    </row>
    <row r="620" spans="1:7" x14ac:dyDescent="0.3">
      <c r="A620" s="1" t="s">
        <v>755</v>
      </c>
      <c r="B620" s="1" t="s">
        <v>877</v>
      </c>
      <c r="C620" s="1" t="s">
        <v>413</v>
      </c>
      <c r="D620" s="2" t="str">
        <f>HYPERLINK("https://inventaire.cncp.gouv.fr/fiches/3426/","3426")</f>
        <v>3426</v>
      </c>
      <c r="E620" s="2" t="str">
        <f>HYPERLINK("http://www.intercariforef.org/formations/certification-101177.html","101177")</f>
        <v>101177</v>
      </c>
      <c r="F620" s="3">
        <v>43250</v>
      </c>
      <c r="G620" s="3">
        <v>43250</v>
      </c>
    </row>
    <row r="621" spans="1:7" x14ac:dyDescent="0.3">
      <c r="A621" s="1" t="s">
        <v>755</v>
      </c>
      <c r="B621" s="1" t="s">
        <v>878</v>
      </c>
      <c r="C621" s="1" t="s">
        <v>879</v>
      </c>
      <c r="D621" s="2" t="str">
        <f>HYPERLINK("https://inventaire.cncp.gouv.fr/fiches/2315/","2315")</f>
        <v>2315</v>
      </c>
      <c r="E621" s="2" t="str">
        <f>HYPERLINK("http://www.intercariforef.org/formations/certification-93941.html","93941")</f>
        <v>93941</v>
      </c>
      <c r="F621" s="3">
        <v>42744</v>
      </c>
      <c r="G621" s="3">
        <v>42744</v>
      </c>
    </row>
    <row r="622" spans="1:7" x14ac:dyDescent="0.3">
      <c r="A622" s="1" t="s">
        <v>755</v>
      </c>
      <c r="B622" s="1" t="s">
        <v>880</v>
      </c>
      <c r="C622" s="1" t="s">
        <v>256</v>
      </c>
      <c r="D622" s="2" t="str">
        <f>HYPERLINK("https://inventaire.cncp.gouv.fr/fiches/3486/","3486")</f>
        <v>3486</v>
      </c>
      <c r="E622" s="2" t="str">
        <f>HYPERLINK("http://www.intercariforef.org/formations/certification-100823.html","100823")</f>
        <v>100823</v>
      </c>
      <c r="F622" s="3">
        <v>43209</v>
      </c>
      <c r="G622" s="3">
        <v>43209</v>
      </c>
    </row>
    <row r="623" spans="1:7" x14ac:dyDescent="0.3">
      <c r="A623" s="1" t="s">
        <v>755</v>
      </c>
      <c r="B623" s="1" t="s">
        <v>881</v>
      </c>
      <c r="C623" s="1" t="s">
        <v>350</v>
      </c>
      <c r="D623" s="2" t="str">
        <f>HYPERLINK("https://inventaire.cncp.gouv.fr/fiches/1169/","1169")</f>
        <v>1169</v>
      </c>
      <c r="E623" s="2" t="str">
        <f>HYPERLINK("http://www.intercariforef.org/formations/certification-86386.html","86386")</f>
        <v>86386</v>
      </c>
      <c r="F623" s="3">
        <v>42340</v>
      </c>
      <c r="G623" s="3">
        <v>43392</v>
      </c>
    </row>
    <row r="624" spans="1:7" x14ac:dyDescent="0.3">
      <c r="A624" s="1" t="s">
        <v>755</v>
      </c>
      <c r="B624" s="1" t="s">
        <v>882</v>
      </c>
      <c r="C624" s="1" t="s">
        <v>791</v>
      </c>
      <c r="D624" s="2" t="str">
        <f>HYPERLINK("https://inventaire.cncp.gouv.fr/fiches/2535/","2535")</f>
        <v>2535</v>
      </c>
      <c r="E624" s="2" t="str">
        <f>HYPERLINK("http://www.intercariforef.org/formations/certification-94829.html","94829")</f>
        <v>94829</v>
      </c>
      <c r="F624" s="3">
        <v>42836</v>
      </c>
      <c r="G624" s="3">
        <v>42836</v>
      </c>
    </row>
    <row r="625" spans="1:7" x14ac:dyDescent="0.3">
      <c r="A625" s="1" t="s">
        <v>755</v>
      </c>
      <c r="B625" s="1" t="s">
        <v>883</v>
      </c>
      <c r="C625" s="1" t="s">
        <v>689</v>
      </c>
      <c r="D625" s="2" t="str">
        <f>HYPERLINK("https://inventaire.cncp.gouv.fr/fiches/3197/","3197")</f>
        <v>3197</v>
      </c>
      <c r="E625" s="2" t="str">
        <f>HYPERLINK("http://www.intercariforef.org/formations/certification-100181.html","100181")</f>
        <v>100181</v>
      </c>
      <c r="F625" s="3">
        <v>43154</v>
      </c>
      <c r="G625" s="3">
        <v>43154</v>
      </c>
    </row>
    <row r="626" spans="1:7" x14ac:dyDescent="0.3">
      <c r="A626" s="1" t="s">
        <v>755</v>
      </c>
      <c r="B626" s="1" t="s">
        <v>884</v>
      </c>
      <c r="C626" s="1" t="s">
        <v>413</v>
      </c>
      <c r="D626" s="2" t="str">
        <f>HYPERLINK("https://inventaire.cncp.gouv.fr/fiches/868/","868")</f>
        <v>868</v>
      </c>
      <c r="E626" s="2" t="str">
        <f>HYPERLINK("http://www.intercariforef.org/formations/certification-86399.html","86399")</f>
        <v>86399</v>
      </c>
      <c r="F626" s="3">
        <v>42340</v>
      </c>
      <c r="G626" s="3">
        <v>42340</v>
      </c>
    </row>
    <row r="627" spans="1:7" x14ac:dyDescent="0.3">
      <c r="A627" s="1" t="s">
        <v>755</v>
      </c>
      <c r="B627" s="1" t="s">
        <v>885</v>
      </c>
      <c r="C627" s="1" t="s">
        <v>413</v>
      </c>
      <c r="D627" s="2" t="str">
        <f>HYPERLINK("https://inventaire.cncp.gouv.fr/fiches/315/","315")</f>
        <v>315</v>
      </c>
      <c r="E627" s="2" t="str">
        <f>HYPERLINK("http://www.intercariforef.org/formations/certification-84720.html","84720")</f>
        <v>84720</v>
      </c>
      <c r="F627" s="3">
        <v>42156</v>
      </c>
      <c r="G627" s="3">
        <v>42156</v>
      </c>
    </row>
    <row r="628" spans="1:7" x14ac:dyDescent="0.3">
      <c r="A628" s="1" t="s">
        <v>755</v>
      </c>
      <c r="B628" s="1" t="s">
        <v>886</v>
      </c>
      <c r="C628" s="1" t="s">
        <v>887</v>
      </c>
      <c r="D628" s="2" t="str">
        <f>HYPERLINK("https://inventaire.cncp.gouv.fr/fiches/2913/","2913")</f>
        <v>2913</v>
      </c>
      <c r="E628" s="2" t="str">
        <f>HYPERLINK("http://www.intercariforef.org/formations/certification-96549.html","96549")</f>
        <v>96549</v>
      </c>
      <c r="F628" s="3">
        <v>42928</v>
      </c>
      <c r="G628" s="3">
        <v>42928</v>
      </c>
    </row>
    <row r="629" spans="1:7" x14ac:dyDescent="0.3">
      <c r="A629" s="1" t="s">
        <v>755</v>
      </c>
      <c r="B629" s="1" t="s">
        <v>888</v>
      </c>
      <c r="C629" s="1" t="s">
        <v>470</v>
      </c>
      <c r="D629" s="2" t="str">
        <f>HYPERLINK("https://inventaire.cncp.gouv.fr/fiches/3008/","3008")</f>
        <v>3008</v>
      </c>
      <c r="E629" s="2" t="str">
        <f>HYPERLINK("http://www.intercariforef.org/formations/certification-96501.html","96501")</f>
        <v>96501</v>
      </c>
      <c r="F629" s="3">
        <v>42928</v>
      </c>
      <c r="G629" s="3">
        <v>42928</v>
      </c>
    </row>
    <row r="630" spans="1:7" x14ac:dyDescent="0.3">
      <c r="A630" s="1" t="s">
        <v>755</v>
      </c>
      <c r="B630" s="1" t="s">
        <v>889</v>
      </c>
      <c r="C630" s="1" t="s">
        <v>890</v>
      </c>
      <c r="D630" s="2" t="str">
        <f>HYPERLINK("https://inventaire.cncp.gouv.fr/fiches/3532/","3532")</f>
        <v>3532</v>
      </c>
      <c r="E630" s="2" t="str">
        <f>HYPERLINK("http://www.intercariforef.org/formations/certification-102631.html","102631")</f>
        <v>102631</v>
      </c>
      <c r="F630" s="3">
        <v>43299</v>
      </c>
      <c r="G630" s="3">
        <v>43299</v>
      </c>
    </row>
    <row r="631" spans="1:7" x14ac:dyDescent="0.3">
      <c r="A631" s="1" t="s">
        <v>755</v>
      </c>
      <c r="B631" s="1" t="s">
        <v>891</v>
      </c>
      <c r="C631" s="1" t="s">
        <v>892</v>
      </c>
      <c r="D631" s="2" t="str">
        <f>HYPERLINK("https://inventaire.cncp.gouv.fr/fiches/2172/","2172")</f>
        <v>2172</v>
      </c>
      <c r="E631" s="2" t="str">
        <f>HYPERLINK("http://www.intercariforef.org/formations/certification-94851.html","94851")</f>
        <v>94851</v>
      </c>
      <c r="F631" s="3">
        <v>42836</v>
      </c>
      <c r="G631" s="3">
        <v>42836</v>
      </c>
    </row>
    <row r="632" spans="1:7" ht="26.2" x14ac:dyDescent="0.3">
      <c r="A632" s="1" t="s">
        <v>755</v>
      </c>
      <c r="B632" s="1" t="s">
        <v>893</v>
      </c>
      <c r="C632" s="1" t="s">
        <v>675</v>
      </c>
      <c r="D632" s="2" t="str">
        <f>HYPERLINK("https://inventaire.cncp.gouv.fr/fiches/3401/","3401")</f>
        <v>3401</v>
      </c>
      <c r="E632" s="2" t="str">
        <f>HYPERLINK("http://www.intercariforef.org/formations/certification-100169.html","100169")</f>
        <v>100169</v>
      </c>
      <c r="F632" s="3">
        <v>43154</v>
      </c>
      <c r="G632" s="3">
        <v>43154</v>
      </c>
    </row>
    <row r="633" spans="1:7" x14ac:dyDescent="0.3">
      <c r="A633" s="1" t="s">
        <v>755</v>
      </c>
      <c r="B633" s="1" t="s">
        <v>894</v>
      </c>
      <c r="C633" s="1" t="s">
        <v>675</v>
      </c>
      <c r="D633" s="2" t="str">
        <f>HYPERLINK("https://inventaire.cncp.gouv.fr/fiches/3858/","3858")</f>
        <v>3858</v>
      </c>
      <c r="E633" s="2" t="str">
        <f>HYPERLINK("http://www.intercariforef.org/formations/certification-104137.html","104137")</f>
        <v>104137</v>
      </c>
      <c r="F633" s="3">
        <v>43398</v>
      </c>
      <c r="G633" s="3">
        <v>43398</v>
      </c>
    </row>
    <row r="634" spans="1:7" x14ac:dyDescent="0.3">
      <c r="A634" s="1" t="s">
        <v>755</v>
      </c>
      <c r="B634" s="1" t="s">
        <v>895</v>
      </c>
      <c r="C634" s="1" t="s">
        <v>896</v>
      </c>
      <c r="D634" s="2" t="str">
        <f>HYPERLINK("https://inventaire.cncp.gouv.fr/fiches/3398/","3398")</f>
        <v>3398</v>
      </c>
      <c r="E634" s="2" t="str">
        <f>HYPERLINK("http://www.intercariforef.org/formations/certification-100013.html","100013")</f>
        <v>100013</v>
      </c>
      <c r="F634" s="3">
        <v>43151</v>
      </c>
      <c r="G634" s="3">
        <v>43151</v>
      </c>
    </row>
    <row r="635" spans="1:7" x14ac:dyDescent="0.3">
      <c r="A635" s="1" t="s">
        <v>755</v>
      </c>
      <c r="B635" s="1" t="s">
        <v>897</v>
      </c>
      <c r="C635" s="1" t="s">
        <v>776</v>
      </c>
      <c r="D635" s="2" t="str">
        <f>HYPERLINK("https://inventaire.cncp.gouv.fr/fiches/3626/","3626")</f>
        <v>3626</v>
      </c>
      <c r="E635" s="2" t="str">
        <f>HYPERLINK("http://www.intercariforef.org/formations/certification-101153.html","101153")</f>
        <v>101153</v>
      </c>
      <c r="F635" s="3">
        <v>43250</v>
      </c>
      <c r="G635" s="3">
        <v>43353</v>
      </c>
    </row>
    <row r="636" spans="1:7" x14ac:dyDescent="0.3">
      <c r="A636" s="1" t="s">
        <v>755</v>
      </c>
      <c r="B636" s="1" t="s">
        <v>898</v>
      </c>
      <c r="C636" s="1" t="s">
        <v>865</v>
      </c>
      <c r="D636" s="2" t="str">
        <f>HYPERLINK("https://inventaire.cncp.gouv.fr/fiches/2411/","2411")</f>
        <v>2411</v>
      </c>
      <c r="E636" s="2" t="str">
        <f>HYPERLINK("http://www.intercariforef.org/formations/certification-94875.html","94875")</f>
        <v>94875</v>
      </c>
      <c r="F636" s="3">
        <v>42836</v>
      </c>
      <c r="G636" s="3">
        <v>42836</v>
      </c>
    </row>
    <row r="637" spans="1:7" x14ac:dyDescent="0.3">
      <c r="A637" s="1" t="s">
        <v>755</v>
      </c>
      <c r="B637" s="1" t="s">
        <v>899</v>
      </c>
      <c r="C637" s="1" t="s">
        <v>900</v>
      </c>
      <c r="D637" s="2" t="str">
        <f>HYPERLINK("https://inventaire.cncp.gouv.fr/fiches/3638/","3638")</f>
        <v>3638</v>
      </c>
      <c r="E637" s="2" t="str">
        <f>HYPERLINK("http://www.intercariforef.org/formations/certification-103999.html","103999")</f>
        <v>103999</v>
      </c>
      <c r="F637" s="3">
        <v>43392</v>
      </c>
      <c r="G637" s="3">
        <v>43392</v>
      </c>
    </row>
    <row r="638" spans="1:7" x14ac:dyDescent="0.3">
      <c r="A638" s="1" t="s">
        <v>755</v>
      </c>
      <c r="B638" s="1" t="s">
        <v>901</v>
      </c>
      <c r="C638" s="1" t="s">
        <v>854</v>
      </c>
      <c r="D638" s="2" t="str">
        <f>HYPERLINK("https://inventaire.cncp.gouv.fr/fiches/3843/","3843")</f>
        <v>3843</v>
      </c>
      <c r="E638" s="2" t="str">
        <f>HYPERLINK("http://www.intercariforef.org/formations/certification-104073.html","104073")</f>
        <v>104073</v>
      </c>
      <c r="F638" s="3">
        <v>43396</v>
      </c>
      <c r="G638" s="3">
        <v>43396</v>
      </c>
    </row>
    <row r="639" spans="1:7" x14ac:dyDescent="0.3">
      <c r="A639" s="1" t="s">
        <v>755</v>
      </c>
      <c r="B639" s="1" t="s">
        <v>902</v>
      </c>
      <c r="C639" s="1" t="s">
        <v>678</v>
      </c>
      <c r="D639" s="2" t="str">
        <f>HYPERLINK("https://inventaire.cncp.gouv.fr/fiches/3296/","3296")</f>
        <v>3296</v>
      </c>
      <c r="E639" s="2" t="str">
        <f>HYPERLINK("http://www.intercariforef.org/formations/certification-100087.html","100087")</f>
        <v>100087</v>
      </c>
      <c r="F639" s="3">
        <v>43152</v>
      </c>
      <c r="G639" s="3">
        <v>43152</v>
      </c>
    </row>
    <row r="640" spans="1:7" x14ac:dyDescent="0.3">
      <c r="A640" s="1" t="s">
        <v>755</v>
      </c>
      <c r="B640" s="1" t="s">
        <v>903</v>
      </c>
      <c r="C640" s="1" t="s">
        <v>760</v>
      </c>
      <c r="D640" s="2" t="str">
        <f>HYPERLINK("https://inventaire.cncp.gouv.fr/fiches/732/","732")</f>
        <v>732</v>
      </c>
      <c r="E640" s="2" t="str">
        <f>HYPERLINK("http://www.intercariforef.org/formations/certification-88639.html","88639")</f>
        <v>88639</v>
      </c>
      <c r="F640" s="3">
        <v>42486</v>
      </c>
      <c r="G640" s="3">
        <v>42718</v>
      </c>
    </row>
    <row r="641" spans="1:7" x14ac:dyDescent="0.3">
      <c r="A641" s="1" t="s">
        <v>755</v>
      </c>
      <c r="B641" s="1" t="s">
        <v>904</v>
      </c>
      <c r="C641" s="1" t="s">
        <v>905</v>
      </c>
      <c r="D641" s="2" t="str">
        <f>HYPERLINK("https://inventaire.cncp.gouv.fr/fiches/3897/","3897")</f>
        <v>3897</v>
      </c>
      <c r="E641" s="2" t="str">
        <f>HYPERLINK("http://www.intercariforef.org/formations/certification-104125.html","104125")</f>
        <v>104125</v>
      </c>
      <c r="F641" s="3">
        <v>43398</v>
      </c>
      <c r="G641" s="3">
        <v>43398</v>
      </c>
    </row>
    <row r="642" spans="1:7" x14ac:dyDescent="0.3">
      <c r="A642" s="1" t="s">
        <v>755</v>
      </c>
      <c r="B642" s="1" t="s">
        <v>906</v>
      </c>
      <c r="C642" s="1" t="s">
        <v>907</v>
      </c>
      <c r="D642" s="2" t="str">
        <f>HYPERLINK("https://inventaire.cncp.gouv.fr/fiches/3487/","3487")</f>
        <v>3487</v>
      </c>
      <c r="E642" s="2" t="str">
        <f>HYPERLINK("http://www.intercariforef.org/formations/certification-102639.html","102639")</f>
        <v>102639</v>
      </c>
      <c r="F642" s="3">
        <v>43299</v>
      </c>
      <c r="G642" s="3">
        <v>43299</v>
      </c>
    </row>
    <row r="643" spans="1:7" x14ac:dyDescent="0.3">
      <c r="A643" s="1" t="s">
        <v>755</v>
      </c>
      <c r="B643" s="1" t="s">
        <v>908</v>
      </c>
      <c r="C643" s="1" t="s">
        <v>146</v>
      </c>
      <c r="D643" s="2" t="str">
        <f>HYPERLINK("https://inventaire.cncp.gouv.fr/fiches/2975/","2975")</f>
        <v>2975</v>
      </c>
      <c r="E643" s="2" t="str">
        <f>HYPERLINK("http://www.intercariforef.org/formations/certification-96509.html","96509")</f>
        <v>96509</v>
      </c>
      <c r="F643" s="3">
        <v>42928</v>
      </c>
      <c r="G643" s="3">
        <v>42928</v>
      </c>
    </row>
    <row r="644" spans="1:7" x14ac:dyDescent="0.3">
      <c r="A644" s="1" t="s">
        <v>755</v>
      </c>
      <c r="B644" s="1" t="s">
        <v>909</v>
      </c>
      <c r="C644" s="1" t="s">
        <v>377</v>
      </c>
      <c r="D644" s="2" t="str">
        <f>HYPERLINK("https://inventaire.cncp.gouv.fr/fiches/2757/","2757")</f>
        <v>2757</v>
      </c>
      <c r="E644" s="2" t="str">
        <f>HYPERLINK("http://www.intercariforef.org/formations/certification-94809.html","94809")</f>
        <v>94809</v>
      </c>
      <c r="F644" s="3">
        <v>42836</v>
      </c>
      <c r="G644" s="3">
        <v>42979</v>
      </c>
    </row>
    <row r="645" spans="1:7" ht="26.2" x14ac:dyDescent="0.3">
      <c r="A645" s="1" t="s">
        <v>755</v>
      </c>
      <c r="B645" s="1" t="s">
        <v>910</v>
      </c>
      <c r="C645" s="1" t="s">
        <v>911</v>
      </c>
      <c r="D645" s="2" t="str">
        <f>HYPERLINK("https://inventaire.cncp.gouv.fr/fiches/1255/","1255")</f>
        <v>1255</v>
      </c>
      <c r="E645" s="2" t="str">
        <f>HYPERLINK("http://www.intercariforef.org/formations/certification-85523.html","85523")</f>
        <v>85523</v>
      </c>
      <c r="F645" s="3">
        <v>42269</v>
      </c>
      <c r="G645" s="3">
        <v>43129</v>
      </c>
    </row>
    <row r="646" spans="1:7" ht="26.2" x14ac:dyDescent="0.3">
      <c r="A646" s="1" t="s">
        <v>755</v>
      </c>
      <c r="B646" s="1" t="s">
        <v>912</v>
      </c>
      <c r="C646" s="1" t="s">
        <v>911</v>
      </c>
      <c r="D646" s="2" t="str">
        <f>HYPERLINK("https://inventaire.cncp.gouv.fr/fiches/1240/","1240")</f>
        <v>1240</v>
      </c>
      <c r="E646" s="2" t="str">
        <f>HYPERLINK("http://www.intercariforef.org/formations/certification-85529.html","85529")</f>
        <v>85529</v>
      </c>
      <c r="F646" s="3">
        <v>42269</v>
      </c>
      <c r="G646" s="3">
        <v>43129</v>
      </c>
    </row>
    <row r="647" spans="1:7" x14ac:dyDescent="0.3">
      <c r="A647" s="1" t="s">
        <v>755</v>
      </c>
      <c r="B647" s="1" t="s">
        <v>913</v>
      </c>
      <c r="C647" s="1" t="s">
        <v>914</v>
      </c>
      <c r="D647" s="2" t="str">
        <f>HYPERLINK("https://inventaire.cncp.gouv.fr/fiches/1889/","1889")</f>
        <v>1889</v>
      </c>
      <c r="E647" s="2" t="str">
        <f>HYPERLINK("http://www.intercariforef.org/formations/certification-94321.html","94321")</f>
        <v>94321</v>
      </c>
      <c r="F647" s="3">
        <v>42787</v>
      </c>
      <c r="G647" s="3">
        <v>42787</v>
      </c>
    </row>
    <row r="648" spans="1:7" x14ac:dyDescent="0.3">
      <c r="A648" s="1" t="s">
        <v>755</v>
      </c>
      <c r="B648" s="1" t="s">
        <v>915</v>
      </c>
      <c r="C648" s="1" t="s">
        <v>470</v>
      </c>
      <c r="D648" s="2" t="str">
        <f>HYPERLINK("https://inventaire.cncp.gouv.fr/fiches/3043/","3043")</f>
        <v>3043</v>
      </c>
      <c r="E648" s="2" t="str">
        <f>HYPERLINK("http://www.intercariforef.org/formations/certification-96483.html","96483")</f>
        <v>96483</v>
      </c>
      <c r="F648" s="3">
        <v>42928</v>
      </c>
      <c r="G648" s="3">
        <v>42928</v>
      </c>
    </row>
    <row r="649" spans="1:7" x14ac:dyDescent="0.3">
      <c r="A649" s="1" t="s">
        <v>755</v>
      </c>
      <c r="B649" s="1" t="s">
        <v>916</v>
      </c>
      <c r="C649" s="1" t="s">
        <v>773</v>
      </c>
      <c r="D649" s="2" t="str">
        <f>HYPERLINK("https://inventaire.cncp.gouv.fr/fiches/2550/","2550")</f>
        <v>2550</v>
      </c>
      <c r="E649" s="2" t="str">
        <f>HYPERLINK("http://www.intercariforef.org/formations/certification-95241.html","95241")</f>
        <v>95241</v>
      </c>
      <c r="F649" s="3">
        <v>42851</v>
      </c>
      <c r="G649" s="3">
        <v>42851</v>
      </c>
    </row>
    <row r="650" spans="1:7" x14ac:dyDescent="0.3">
      <c r="A650" s="1" t="s">
        <v>755</v>
      </c>
      <c r="B650" s="1" t="s">
        <v>917</v>
      </c>
      <c r="C650" s="1" t="s">
        <v>350</v>
      </c>
      <c r="D650" s="2" t="str">
        <f>HYPERLINK("https://inventaire.cncp.gouv.fr/fiches/2843/","2843")</f>
        <v>2843</v>
      </c>
      <c r="E650" s="2" t="str">
        <f>HYPERLINK("http://www.intercariforef.org/formations/certification-98591.html","98591")</f>
        <v>98591</v>
      </c>
      <c r="F650" s="3">
        <v>43038</v>
      </c>
      <c r="G650" s="3">
        <v>43392</v>
      </c>
    </row>
    <row r="651" spans="1:7" x14ac:dyDescent="0.3">
      <c r="A651" s="1" t="s">
        <v>755</v>
      </c>
      <c r="B651" s="1" t="s">
        <v>918</v>
      </c>
      <c r="C651" s="1" t="s">
        <v>350</v>
      </c>
      <c r="D651" s="2" t="str">
        <f>HYPERLINK("https://inventaire.cncp.gouv.fr/fiches/1162/","1162")</f>
        <v>1162</v>
      </c>
      <c r="E651" s="2" t="str">
        <f>HYPERLINK("http://www.intercariforef.org/formations/certification-86388.html","86388")</f>
        <v>86388</v>
      </c>
      <c r="F651" s="3">
        <v>42340</v>
      </c>
      <c r="G651" s="3">
        <v>43392</v>
      </c>
    </row>
    <row r="652" spans="1:7" x14ac:dyDescent="0.3">
      <c r="A652" s="1" t="s">
        <v>755</v>
      </c>
      <c r="B652" s="1" t="s">
        <v>919</v>
      </c>
      <c r="C652" s="1" t="s">
        <v>920</v>
      </c>
      <c r="D652" s="2" t="str">
        <f>HYPERLINK("https://inventaire.cncp.gouv.fr/fiches/1363/","1363")</f>
        <v>1363</v>
      </c>
      <c r="E652" s="2" t="str">
        <f>HYPERLINK("http://www.intercariforef.org/formations/certification-86476.html","86476")</f>
        <v>86476</v>
      </c>
      <c r="F652" s="3">
        <v>42342</v>
      </c>
      <c r="G652" s="3">
        <v>42342</v>
      </c>
    </row>
    <row r="653" spans="1:7" x14ac:dyDescent="0.3">
      <c r="A653" s="1" t="s">
        <v>755</v>
      </c>
      <c r="B653" s="1" t="s">
        <v>921</v>
      </c>
      <c r="C653" s="1" t="s">
        <v>793</v>
      </c>
      <c r="D653" s="2" t="str">
        <f>HYPERLINK("https://inventaire.cncp.gouv.fr/fiches/3037/","3037")</f>
        <v>3037</v>
      </c>
      <c r="E653" s="2" t="str">
        <f>HYPERLINK("http://www.intercariforef.org/formations/certification-96489.html","96489")</f>
        <v>96489</v>
      </c>
      <c r="F653" s="3">
        <v>42928</v>
      </c>
      <c r="G653" s="3">
        <v>42928</v>
      </c>
    </row>
    <row r="654" spans="1:7" x14ac:dyDescent="0.3">
      <c r="A654" s="1" t="s">
        <v>755</v>
      </c>
      <c r="B654" s="1" t="s">
        <v>922</v>
      </c>
      <c r="C654" s="1" t="s">
        <v>923</v>
      </c>
      <c r="D654" s="2" t="str">
        <f>HYPERLINK("https://inventaire.cncp.gouv.fr/fiches/2296/","2296")</f>
        <v>2296</v>
      </c>
      <c r="E654" s="2" t="str">
        <f>HYPERLINK("http://www.intercariforef.org/formations/certification-94867.html","94867")</f>
        <v>94867</v>
      </c>
      <c r="F654" s="3">
        <v>42836</v>
      </c>
      <c r="G654" s="3">
        <v>42836</v>
      </c>
    </row>
    <row r="655" spans="1:7" x14ac:dyDescent="0.3">
      <c r="A655" s="1" t="s">
        <v>755</v>
      </c>
      <c r="B655" s="1" t="s">
        <v>924</v>
      </c>
      <c r="C655" s="1" t="s">
        <v>896</v>
      </c>
      <c r="D655" s="2" t="str">
        <f>HYPERLINK("https://inventaire.cncp.gouv.fr/fiches/3396/","3396")</f>
        <v>3396</v>
      </c>
      <c r="E655" s="2" t="str">
        <f>HYPERLINK("http://www.intercariforef.org/formations/certification-100017.html","100017")</f>
        <v>100017</v>
      </c>
      <c r="F655" s="3">
        <v>43151</v>
      </c>
      <c r="G655" s="3">
        <v>43151</v>
      </c>
    </row>
    <row r="656" spans="1:7" x14ac:dyDescent="0.3">
      <c r="A656" s="1" t="s">
        <v>755</v>
      </c>
      <c r="B656" s="1" t="s">
        <v>925</v>
      </c>
      <c r="C656" s="1" t="s">
        <v>773</v>
      </c>
      <c r="D656" s="2" t="str">
        <f>HYPERLINK("https://inventaire.cncp.gouv.fr/fiches/2311/","2311")</f>
        <v>2311</v>
      </c>
      <c r="E656" s="2" t="str">
        <f>HYPERLINK("http://www.intercariforef.org/formations/certification-91893.html","91893")</f>
        <v>91893</v>
      </c>
      <c r="F656" s="3">
        <v>42662</v>
      </c>
      <c r="G656" s="3">
        <v>42718</v>
      </c>
    </row>
    <row r="657" spans="1:7" x14ac:dyDescent="0.3">
      <c r="A657" s="1" t="s">
        <v>755</v>
      </c>
      <c r="B657" s="1" t="s">
        <v>926</v>
      </c>
      <c r="C657" s="1" t="s">
        <v>927</v>
      </c>
      <c r="D657" s="2" t="str">
        <f>HYPERLINK("https://inventaire.cncp.gouv.fr/fiches/3636/","3636")</f>
        <v>3636</v>
      </c>
      <c r="E657" s="2" t="str">
        <f>HYPERLINK("http://www.intercariforef.org/formations/certification-104165.html","104165")</f>
        <v>104165</v>
      </c>
      <c r="F657" s="3">
        <v>43398</v>
      </c>
      <c r="G657" s="3">
        <v>43398</v>
      </c>
    </row>
    <row r="658" spans="1:7" x14ac:dyDescent="0.3">
      <c r="A658" s="1" t="s">
        <v>755</v>
      </c>
      <c r="B658" s="1" t="s">
        <v>928</v>
      </c>
      <c r="C658" s="1" t="s">
        <v>602</v>
      </c>
      <c r="D658" s="2" t="str">
        <f>HYPERLINK("https://inventaire.cncp.gouv.fr/fiches/1225/","1225")</f>
        <v>1225</v>
      </c>
      <c r="E658" s="2" t="str">
        <f>HYPERLINK("http://www.intercariforef.org/formations/certification-86356.html","86356")</f>
        <v>86356</v>
      </c>
      <c r="F658" s="3">
        <v>42340</v>
      </c>
      <c r="G658" s="3">
        <v>42718</v>
      </c>
    </row>
    <row r="659" spans="1:7" x14ac:dyDescent="0.3">
      <c r="A659" s="1" t="s">
        <v>755</v>
      </c>
      <c r="B659" s="1" t="s">
        <v>929</v>
      </c>
      <c r="C659" s="1" t="s">
        <v>75</v>
      </c>
      <c r="D659" s="2" t="str">
        <f>HYPERLINK("https://inventaire.cncp.gouv.fr/fiches/947/","947")</f>
        <v>947</v>
      </c>
      <c r="E659" s="2" t="str">
        <f>HYPERLINK("http://www.intercariforef.org/formations/certification-85067.html","85067")</f>
        <v>85067</v>
      </c>
      <c r="F659" s="3">
        <v>42185</v>
      </c>
      <c r="G659" s="3">
        <v>42185</v>
      </c>
    </row>
    <row r="660" spans="1:7" x14ac:dyDescent="0.3">
      <c r="A660" s="1" t="s">
        <v>755</v>
      </c>
      <c r="B660" s="1" t="s">
        <v>930</v>
      </c>
      <c r="C660" s="1" t="s">
        <v>931</v>
      </c>
      <c r="D660" s="2" t="str">
        <f>HYPERLINK("https://inventaire.cncp.gouv.fr/fiches/3748/","3748")</f>
        <v>3748</v>
      </c>
      <c r="E660" s="2" t="str">
        <f>HYPERLINK("http://www.intercariforef.org/formations/certification-102457.html","102457")</f>
        <v>102457</v>
      </c>
      <c r="F660" s="3">
        <v>43298</v>
      </c>
      <c r="G660" s="3">
        <v>43298</v>
      </c>
    </row>
    <row r="661" spans="1:7" x14ac:dyDescent="0.3">
      <c r="A661" s="1" t="s">
        <v>755</v>
      </c>
      <c r="B661" s="1" t="s">
        <v>932</v>
      </c>
      <c r="C661" s="1" t="s">
        <v>350</v>
      </c>
      <c r="D661" s="2" t="str">
        <f>HYPERLINK("https://inventaire.cncp.gouv.fr/fiches/1165/","1165")</f>
        <v>1165</v>
      </c>
      <c r="E661" s="2" t="str">
        <f>HYPERLINK("http://www.intercariforef.org/formations/certification-86385.html","86385")</f>
        <v>86385</v>
      </c>
      <c r="F661" s="3">
        <v>42340</v>
      </c>
      <c r="G661" s="3">
        <v>43392</v>
      </c>
    </row>
    <row r="662" spans="1:7" x14ac:dyDescent="0.3">
      <c r="A662" s="1" t="s">
        <v>755</v>
      </c>
      <c r="B662" s="1" t="s">
        <v>933</v>
      </c>
      <c r="C662" s="1" t="s">
        <v>470</v>
      </c>
      <c r="D662" s="2" t="str">
        <f>HYPERLINK("https://inventaire.cncp.gouv.fr/fiches/3044/","3044")</f>
        <v>3044</v>
      </c>
      <c r="E662" s="2" t="str">
        <f>HYPERLINK("http://www.intercariforef.org/formations/certification-96477.html","96477")</f>
        <v>96477</v>
      </c>
      <c r="F662" s="3">
        <v>42928</v>
      </c>
      <c r="G662" s="3">
        <v>42928</v>
      </c>
    </row>
    <row r="663" spans="1:7" x14ac:dyDescent="0.3">
      <c r="A663" s="1" t="s">
        <v>755</v>
      </c>
      <c r="B663" s="1" t="s">
        <v>934</v>
      </c>
      <c r="C663" s="1" t="s">
        <v>470</v>
      </c>
      <c r="D663" s="2" t="str">
        <f>HYPERLINK("https://inventaire.cncp.gouv.fr/fiches/3042/","3042")</f>
        <v>3042</v>
      </c>
      <c r="E663" s="2" t="str">
        <f>HYPERLINK("http://www.intercariforef.org/formations/certification-96485.html","96485")</f>
        <v>96485</v>
      </c>
      <c r="F663" s="3">
        <v>42928</v>
      </c>
      <c r="G663" s="3">
        <v>42928</v>
      </c>
    </row>
    <row r="664" spans="1:7" x14ac:dyDescent="0.3">
      <c r="A664" s="1" t="s">
        <v>755</v>
      </c>
      <c r="B664" s="1" t="s">
        <v>935</v>
      </c>
      <c r="C664" s="1" t="s">
        <v>776</v>
      </c>
      <c r="D664" s="2" t="str">
        <f>HYPERLINK("https://inventaire.cncp.gouv.fr/fiches/3629/","3629")</f>
        <v>3629</v>
      </c>
      <c r="E664" s="2" t="str">
        <f>HYPERLINK("http://www.intercariforef.org/formations/certification-101237.html","101237")</f>
        <v>101237</v>
      </c>
      <c r="F664" s="3">
        <v>43255</v>
      </c>
      <c r="G664" s="3">
        <v>43255</v>
      </c>
    </row>
    <row r="665" spans="1:7" x14ac:dyDescent="0.3">
      <c r="A665" s="1" t="s">
        <v>755</v>
      </c>
      <c r="B665" s="1" t="s">
        <v>936</v>
      </c>
      <c r="C665" s="1" t="s">
        <v>379</v>
      </c>
      <c r="D665" s="2" t="str">
        <f>HYPERLINK("https://inventaire.cncp.gouv.fr/fiches/1481/","1481")</f>
        <v>1481</v>
      </c>
      <c r="E665" s="2" t="str">
        <f>HYPERLINK("http://www.intercariforef.org/formations/certification-87553.html","87553")</f>
        <v>87553</v>
      </c>
      <c r="F665" s="3">
        <v>42412</v>
      </c>
      <c r="G665" s="3">
        <v>42718</v>
      </c>
    </row>
    <row r="666" spans="1:7" x14ac:dyDescent="0.3">
      <c r="A666" s="1" t="s">
        <v>755</v>
      </c>
      <c r="B666" s="1" t="s">
        <v>937</v>
      </c>
      <c r="C666" s="1" t="s">
        <v>424</v>
      </c>
      <c r="D666" s="2" t="str">
        <f>HYPERLINK("https://inventaire.cncp.gouv.fr/fiches/2086/","2086")</f>
        <v>2086</v>
      </c>
      <c r="E666" s="2" t="str">
        <f>HYPERLINK("http://www.intercariforef.org/formations/certification-89197.html","89197")</f>
        <v>89197</v>
      </c>
      <c r="F666" s="3">
        <v>42521</v>
      </c>
      <c r="G666" s="3">
        <v>42718</v>
      </c>
    </row>
    <row r="667" spans="1:7" x14ac:dyDescent="0.3">
      <c r="A667" s="1" t="s">
        <v>755</v>
      </c>
      <c r="B667" s="1" t="s">
        <v>938</v>
      </c>
      <c r="C667" s="1" t="s">
        <v>673</v>
      </c>
      <c r="D667" s="2" t="str">
        <f>HYPERLINK("https://inventaire.cncp.gouv.fr/fiches/3827/","3827")</f>
        <v>3827</v>
      </c>
      <c r="E667" s="2" t="str">
        <f>HYPERLINK("http://www.intercariforef.org/formations/certification-104149.html","104149")</f>
        <v>104149</v>
      </c>
      <c r="F667" s="3">
        <v>43398</v>
      </c>
      <c r="G667" s="3">
        <v>43398</v>
      </c>
    </row>
    <row r="668" spans="1:7" x14ac:dyDescent="0.3">
      <c r="A668" s="1" t="s">
        <v>755</v>
      </c>
      <c r="B668" s="1" t="s">
        <v>939</v>
      </c>
      <c r="C668" s="1" t="s">
        <v>940</v>
      </c>
      <c r="D668" s="2" t="str">
        <f>HYPERLINK("https://inventaire.cncp.gouv.fr/fiches/3279/","3279")</f>
        <v>3279</v>
      </c>
      <c r="E668" s="2" t="str">
        <f>HYPERLINK("http://www.intercariforef.org/formations/certification-100109.html","100109")</f>
        <v>100109</v>
      </c>
      <c r="F668" s="3">
        <v>43153</v>
      </c>
      <c r="G668" s="3">
        <v>43153</v>
      </c>
    </row>
    <row r="669" spans="1:7" x14ac:dyDescent="0.3">
      <c r="A669" s="1" t="s">
        <v>755</v>
      </c>
      <c r="B669" s="1" t="s">
        <v>941</v>
      </c>
      <c r="C669" s="1" t="s">
        <v>942</v>
      </c>
      <c r="D669" s="2" t="str">
        <f>HYPERLINK("https://inventaire.cncp.gouv.fr/fiches/3252/","3252")</f>
        <v>3252</v>
      </c>
      <c r="E669" s="2" t="str">
        <f>HYPERLINK("http://www.intercariforef.org/formations/certification-100111.html","100111")</f>
        <v>100111</v>
      </c>
      <c r="F669" s="3">
        <v>43153</v>
      </c>
      <c r="G669" s="3">
        <v>43153</v>
      </c>
    </row>
    <row r="670" spans="1:7" x14ac:dyDescent="0.3">
      <c r="A670" s="1" t="s">
        <v>755</v>
      </c>
      <c r="B670" s="1" t="s">
        <v>943</v>
      </c>
      <c r="C670" s="1" t="s">
        <v>350</v>
      </c>
      <c r="D670" s="2" t="str">
        <f>HYPERLINK("https://inventaire.cncp.gouv.fr/fiches/1171/","1171")</f>
        <v>1171</v>
      </c>
      <c r="E670" s="2" t="str">
        <f>HYPERLINK("http://www.intercariforef.org/formations/certification-86357.html","86357")</f>
        <v>86357</v>
      </c>
      <c r="F670" s="3">
        <v>42340</v>
      </c>
      <c r="G670" s="3">
        <v>43392</v>
      </c>
    </row>
    <row r="671" spans="1:7" x14ac:dyDescent="0.3">
      <c r="A671" s="1" t="s">
        <v>755</v>
      </c>
      <c r="B671" s="1" t="s">
        <v>944</v>
      </c>
      <c r="C671" s="1" t="s">
        <v>945</v>
      </c>
      <c r="D671" s="2" t="str">
        <f>HYPERLINK("https://inventaire.cncp.gouv.fr/fiches/1919/","1919")</f>
        <v>1919</v>
      </c>
      <c r="E671" s="2" t="str">
        <f>HYPERLINK("http://www.intercariforef.org/formations/certification-89381.html","89381")</f>
        <v>89381</v>
      </c>
      <c r="F671" s="3">
        <v>42527</v>
      </c>
      <c r="G671" s="3">
        <v>42718</v>
      </c>
    </row>
    <row r="672" spans="1:7" x14ac:dyDescent="0.3">
      <c r="A672" s="1" t="s">
        <v>755</v>
      </c>
      <c r="B672" s="1" t="s">
        <v>946</v>
      </c>
      <c r="C672" s="1" t="s">
        <v>776</v>
      </c>
      <c r="D672" s="2" t="str">
        <f>HYPERLINK("https://inventaire.cncp.gouv.fr/fiches/3681/","3681")</f>
        <v>3681</v>
      </c>
      <c r="E672" s="2" t="str">
        <f>HYPERLINK("http://www.intercariforef.org/formations/certification-103991.html","103991")</f>
        <v>103991</v>
      </c>
      <c r="F672" s="3">
        <v>43391</v>
      </c>
      <c r="G672" s="3">
        <v>43391</v>
      </c>
    </row>
    <row r="673" spans="1:7" x14ac:dyDescent="0.3">
      <c r="A673" s="1" t="s">
        <v>755</v>
      </c>
      <c r="B673" s="1" t="s">
        <v>946</v>
      </c>
      <c r="C673" s="1" t="s">
        <v>350</v>
      </c>
      <c r="D673" s="2" t="str">
        <f>HYPERLINK("https://inventaire.cncp.gouv.fr/fiches/1167/","1167")</f>
        <v>1167</v>
      </c>
      <c r="E673" s="2" t="str">
        <f>HYPERLINK("http://www.intercariforef.org/formations/certification-86213.html","86213")</f>
        <v>86213</v>
      </c>
      <c r="F673" s="3">
        <v>42320</v>
      </c>
      <c r="G673" s="3">
        <v>43392</v>
      </c>
    </row>
    <row r="674" spans="1:7" x14ac:dyDescent="0.3">
      <c r="A674" s="1" t="s">
        <v>755</v>
      </c>
      <c r="B674" s="1" t="s">
        <v>946</v>
      </c>
      <c r="C674" s="1" t="s">
        <v>422</v>
      </c>
      <c r="D674" s="2" t="str">
        <f>HYPERLINK("https://inventaire.cncp.gouv.fr/fiches/3419/","3419")</f>
        <v>3419</v>
      </c>
      <c r="E674" s="2" t="str">
        <f>HYPERLINK("http://www.intercariforef.org/formations/certification-100629.html","100629")</f>
        <v>100629</v>
      </c>
      <c r="F674" s="3">
        <v>43193</v>
      </c>
      <c r="G674" s="3">
        <v>43193</v>
      </c>
    </row>
    <row r="675" spans="1:7" x14ac:dyDescent="0.3">
      <c r="A675" s="1" t="s">
        <v>755</v>
      </c>
      <c r="B675" s="1" t="s">
        <v>947</v>
      </c>
      <c r="C675" s="1" t="s">
        <v>776</v>
      </c>
      <c r="D675" s="2" t="str">
        <f>HYPERLINK("https://inventaire.cncp.gouv.fr/fiches/3680/","3680")</f>
        <v>3680</v>
      </c>
      <c r="E675" s="2" t="str">
        <f>HYPERLINK("http://www.intercariforef.org/formations/certification-103989.html","103989")</f>
        <v>103989</v>
      </c>
      <c r="F675" s="3">
        <v>43391</v>
      </c>
      <c r="G675" s="3">
        <v>43391</v>
      </c>
    </row>
    <row r="676" spans="1:7" x14ac:dyDescent="0.3">
      <c r="A676" s="1" t="s">
        <v>755</v>
      </c>
      <c r="B676" s="1" t="s">
        <v>948</v>
      </c>
      <c r="C676" s="1" t="s">
        <v>687</v>
      </c>
      <c r="D676" s="2" t="str">
        <f>HYPERLINK("https://inventaire.cncp.gouv.fr/fiches/2208/","2208")</f>
        <v>2208</v>
      </c>
      <c r="E676" s="2" t="str">
        <f>HYPERLINK("http://www.intercariforef.org/formations/certification-90003.html","90003")</f>
        <v>90003</v>
      </c>
      <c r="F676" s="3">
        <v>42557</v>
      </c>
      <c r="G676" s="3">
        <v>42718</v>
      </c>
    </row>
    <row r="677" spans="1:7" x14ac:dyDescent="0.3">
      <c r="A677" s="1" t="s">
        <v>755</v>
      </c>
      <c r="B677" s="1" t="s">
        <v>949</v>
      </c>
      <c r="C677" s="1" t="s">
        <v>791</v>
      </c>
      <c r="D677" s="2" t="str">
        <f>HYPERLINK("https://inventaire.cncp.gouv.fr/fiches/2534/","2534")</f>
        <v>2534</v>
      </c>
      <c r="E677" s="2" t="str">
        <f>HYPERLINK("http://www.intercariforef.org/formations/certification-94831.html","94831")</f>
        <v>94831</v>
      </c>
      <c r="F677" s="3">
        <v>42836</v>
      </c>
      <c r="G677" s="3">
        <v>42836</v>
      </c>
    </row>
    <row r="678" spans="1:7" x14ac:dyDescent="0.3">
      <c r="A678" s="1" t="s">
        <v>755</v>
      </c>
      <c r="B678" s="1" t="s">
        <v>950</v>
      </c>
      <c r="C678" s="1" t="s">
        <v>791</v>
      </c>
      <c r="D678" s="2" t="str">
        <f>HYPERLINK("https://inventaire.cncp.gouv.fr/fiches/2533/","2533")</f>
        <v>2533</v>
      </c>
      <c r="E678" s="2" t="str">
        <f>HYPERLINK("http://www.intercariforef.org/formations/certification-94835.html","94835")</f>
        <v>94835</v>
      </c>
      <c r="F678" s="3">
        <v>42836</v>
      </c>
      <c r="G678" s="3">
        <v>42836</v>
      </c>
    </row>
    <row r="679" spans="1:7" x14ac:dyDescent="0.3">
      <c r="A679" s="1" t="s">
        <v>755</v>
      </c>
      <c r="B679" s="1" t="s">
        <v>951</v>
      </c>
      <c r="C679" s="1" t="s">
        <v>952</v>
      </c>
      <c r="D679" s="2" t="str">
        <f>HYPERLINK("https://inventaire.cncp.gouv.fr/fiches/3584/","3584")</f>
        <v>3584</v>
      </c>
      <c r="E679" s="2" t="str">
        <f>HYPERLINK("http://www.intercariforef.org/formations/certification-101161.html","101161")</f>
        <v>101161</v>
      </c>
      <c r="F679" s="3">
        <v>43250</v>
      </c>
      <c r="G679" s="3">
        <v>43250</v>
      </c>
    </row>
    <row r="680" spans="1:7" x14ac:dyDescent="0.3">
      <c r="A680" s="1" t="s">
        <v>755</v>
      </c>
      <c r="B680" s="1" t="s">
        <v>953</v>
      </c>
      <c r="C680" s="1" t="s">
        <v>791</v>
      </c>
      <c r="D680" s="2" t="str">
        <f>HYPERLINK("https://inventaire.cncp.gouv.fr/fiches/2513/","2513")</f>
        <v>2513</v>
      </c>
      <c r="E680" s="2" t="str">
        <f>HYPERLINK("http://www.intercariforef.org/formations/certification-94839.html","94839")</f>
        <v>94839</v>
      </c>
      <c r="F680" s="3">
        <v>42836</v>
      </c>
      <c r="G680" s="3">
        <v>42836</v>
      </c>
    </row>
    <row r="681" spans="1:7" x14ac:dyDescent="0.3">
      <c r="A681" s="1" t="s">
        <v>755</v>
      </c>
      <c r="B681" s="1" t="s">
        <v>954</v>
      </c>
      <c r="C681" s="1" t="s">
        <v>955</v>
      </c>
      <c r="D681" s="2" t="str">
        <f>HYPERLINK("https://inventaire.cncp.gouv.fr/fiches/2849/","2849")</f>
        <v>2849</v>
      </c>
      <c r="E681" s="2" t="str">
        <f>HYPERLINK("http://www.intercariforef.org/formations/certification-96875.html","96875")</f>
        <v>96875</v>
      </c>
      <c r="F681" s="3">
        <v>42937</v>
      </c>
      <c r="G681" s="3">
        <v>42937</v>
      </c>
    </row>
    <row r="682" spans="1:7" ht="26.2" x14ac:dyDescent="0.3">
      <c r="A682" s="1" t="s">
        <v>755</v>
      </c>
      <c r="B682" s="1" t="s">
        <v>956</v>
      </c>
      <c r="C682" s="1" t="s">
        <v>957</v>
      </c>
      <c r="D682" s="2" t="str">
        <f>HYPERLINK("https://inventaire.cncp.gouv.fr/fiches/4098/","4098")</f>
        <v>4098</v>
      </c>
      <c r="E682" s="2" t="str">
        <f>HYPERLINK("http://www.intercariforef.org/formations/certification-104085.html","104085")</f>
        <v>104085</v>
      </c>
      <c r="F682" s="3">
        <v>43397</v>
      </c>
      <c r="G682" s="3">
        <v>43397</v>
      </c>
    </row>
    <row r="683" spans="1:7" x14ac:dyDescent="0.3">
      <c r="A683" s="1" t="s">
        <v>755</v>
      </c>
      <c r="B683" s="1" t="s">
        <v>958</v>
      </c>
      <c r="C683" s="1" t="s">
        <v>959</v>
      </c>
      <c r="D683" s="2" t="str">
        <f>HYPERLINK("https://inventaire.cncp.gouv.fr/fiches/3029/","3029")</f>
        <v>3029</v>
      </c>
      <c r="E683" s="2" t="str">
        <f>HYPERLINK("http://www.intercariforef.org/formations/certification-96491.html","96491")</f>
        <v>96491</v>
      </c>
      <c r="F683" s="3">
        <v>42928</v>
      </c>
      <c r="G683" s="3">
        <v>42928</v>
      </c>
    </row>
    <row r="684" spans="1:7" x14ac:dyDescent="0.3">
      <c r="A684" s="1" t="s">
        <v>755</v>
      </c>
      <c r="B684" s="1" t="s">
        <v>960</v>
      </c>
      <c r="C684" s="1" t="s">
        <v>241</v>
      </c>
      <c r="D684" s="2" t="str">
        <f>HYPERLINK("https://inventaire.cncp.gouv.fr/fiches/2775/","2775")</f>
        <v>2775</v>
      </c>
      <c r="E684" s="2" t="str">
        <f>HYPERLINK("http://www.intercariforef.org/formations/certification-95643.html","95643")</f>
        <v>95643</v>
      </c>
      <c r="F684" s="3">
        <v>42893</v>
      </c>
      <c r="G684" s="3">
        <v>42893</v>
      </c>
    </row>
    <row r="685" spans="1:7" x14ac:dyDescent="0.3">
      <c r="A685" s="1" t="s">
        <v>755</v>
      </c>
      <c r="B685" s="1" t="s">
        <v>961</v>
      </c>
      <c r="C685" s="1" t="s">
        <v>962</v>
      </c>
      <c r="D685" s="2" t="str">
        <f>HYPERLINK("https://inventaire.cncp.gouv.fr/fiches/1403/","1403")</f>
        <v>1403</v>
      </c>
      <c r="E685" s="2" t="str">
        <f>HYPERLINK("http://www.intercariforef.org/formations/certification-87637.html","87637")</f>
        <v>87637</v>
      </c>
      <c r="F685" s="3">
        <v>42415</v>
      </c>
      <c r="G685" s="3">
        <v>42718</v>
      </c>
    </row>
    <row r="686" spans="1:7" x14ac:dyDescent="0.3">
      <c r="A686" s="1" t="s">
        <v>755</v>
      </c>
      <c r="B686" s="1" t="s">
        <v>963</v>
      </c>
      <c r="C686" s="1" t="s">
        <v>896</v>
      </c>
      <c r="D686" s="2" t="str">
        <f>HYPERLINK("https://inventaire.cncp.gouv.fr/fiches/3397/","3397")</f>
        <v>3397</v>
      </c>
      <c r="E686" s="2" t="str">
        <f>HYPERLINK("http://www.intercariforef.org/formations/certification-100015.html","100015")</f>
        <v>100015</v>
      </c>
      <c r="F686" s="3">
        <v>43151</v>
      </c>
      <c r="G686" s="3">
        <v>43151</v>
      </c>
    </row>
    <row r="687" spans="1:7" x14ac:dyDescent="0.3">
      <c r="A687" s="1" t="s">
        <v>755</v>
      </c>
      <c r="B687" s="1" t="s">
        <v>964</v>
      </c>
      <c r="C687" s="1" t="s">
        <v>241</v>
      </c>
      <c r="D687" s="2" t="str">
        <f>HYPERLINK("https://inventaire.cncp.gouv.fr/fiches/1760/","1760")</f>
        <v>1760</v>
      </c>
      <c r="E687" s="2" t="str">
        <f>HYPERLINK("http://www.intercariforef.org/formations/certification-90021.html","90021")</f>
        <v>90021</v>
      </c>
      <c r="F687" s="3">
        <v>42558</v>
      </c>
      <c r="G687" s="3">
        <v>42558</v>
      </c>
    </row>
    <row r="688" spans="1:7" x14ac:dyDescent="0.3">
      <c r="A688" s="1" t="s">
        <v>755</v>
      </c>
      <c r="B688" s="1" t="s">
        <v>965</v>
      </c>
      <c r="C688" s="1" t="s">
        <v>966</v>
      </c>
      <c r="D688" s="2" t="str">
        <f>HYPERLINK("https://inventaire.cncp.gouv.fr/fiches/2856/","2856")</f>
        <v>2856</v>
      </c>
      <c r="E688" s="2" t="str">
        <f>HYPERLINK("http://www.intercariforef.org/formations/certification-98659.html","98659")</f>
        <v>98659</v>
      </c>
      <c r="F688" s="3">
        <v>43039</v>
      </c>
      <c r="G688" s="3">
        <v>43039</v>
      </c>
    </row>
    <row r="689" spans="1:7" x14ac:dyDescent="0.3">
      <c r="A689" s="1" t="s">
        <v>755</v>
      </c>
      <c r="B689" s="1" t="s">
        <v>967</v>
      </c>
      <c r="C689" s="1" t="s">
        <v>968</v>
      </c>
      <c r="D689" s="2" t="str">
        <f>HYPERLINK("https://inventaire.cncp.gouv.fr/fiches/3059/","3059")</f>
        <v>3059</v>
      </c>
      <c r="E689" s="2" t="str">
        <f>HYPERLINK("http://www.intercariforef.org/formations/certification-100039.html","100039")</f>
        <v>100039</v>
      </c>
      <c r="F689" s="3">
        <v>43152</v>
      </c>
      <c r="G689" s="3">
        <v>43152</v>
      </c>
    </row>
    <row r="690" spans="1:7" x14ac:dyDescent="0.3">
      <c r="A690" s="1" t="s">
        <v>755</v>
      </c>
      <c r="B690" s="1" t="s">
        <v>969</v>
      </c>
      <c r="C690" s="1" t="s">
        <v>970</v>
      </c>
      <c r="D690" s="2" t="str">
        <f>HYPERLINK("https://inventaire.cncp.gouv.fr/fiches/3238/","3238")</f>
        <v>3238</v>
      </c>
      <c r="E690" s="2" t="str">
        <f>HYPERLINK("http://www.intercariforef.org/formations/certification-101203.html","101203")</f>
        <v>101203</v>
      </c>
      <c r="F690" s="3">
        <v>43250</v>
      </c>
      <c r="G690" s="3">
        <v>43250</v>
      </c>
    </row>
    <row r="691" spans="1:7" x14ac:dyDescent="0.3">
      <c r="A691" s="1" t="s">
        <v>755</v>
      </c>
      <c r="B691" s="1" t="s">
        <v>971</v>
      </c>
      <c r="C691" s="1" t="s">
        <v>972</v>
      </c>
      <c r="D691" s="2" t="str">
        <f>HYPERLINK("https://inventaire.cncp.gouv.fr/fiches/2629/","2629")</f>
        <v>2629</v>
      </c>
      <c r="E691" s="2" t="str">
        <f>HYPERLINK("http://www.intercariforef.org/formations/certification-100205.html","100205")</f>
        <v>100205</v>
      </c>
      <c r="F691" s="3">
        <v>43154</v>
      </c>
      <c r="G691" s="3">
        <v>43154</v>
      </c>
    </row>
    <row r="692" spans="1:7" x14ac:dyDescent="0.3">
      <c r="A692" s="1" t="s">
        <v>755</v>
      </c>
      <c r="B692" s="1" t="s">
        <v>973</v>
      </c>
      <c r="C692" s="1" t="s">
        <v>974</v>
      </c>
      <c r="D692" s="2" t="str">
        <f>HYPERLINK("https://inventaire.cncp.gouv.fr/fiches/2339/","2339")</f>
        <v>2339</v>
      </c>
      <c r="E692" s="2" t="str">
        <f>HYPERLINK("http://www.intercariforef.org/formations/certification-92097.html","92097")</f>
        <v>92097</v>
      </c>
      <c r="F692" s="3">
        <v>42667</v>
      </c>
      <c r="G692" s="3">
        <v>42718</v>
      </c>
    </row>
    <row r="693" spans="1:7" x14ac:dyDescent="0.3">
      <c r="A693" s="1" t="s">
        <v>755</v>
      </c>
      <c r="B693" s="1" t="s">
        <v>975</v>
      </c>
      <c r="C693" s="1" t="s">
        <v>974</v>
      </c>
      <c r="D693" s="2" t="str">
        <f>HYPERLINK("https://inventaire.cncp.gouv.fr/fiches/2338/","2338")</f>
        <v>2338</v>
      </c>
      <c r="E693" s="2" t="str">
        <f>HYPERLINK("http://www.intercariforef.org/formations/certification-92101.html","92101")</f>
        <v>92101</v>
      </c>
      <c r="F693" s="3">
        <v>42667</v>
      </c>
      <c r="G693" s="3">
        <v>42718</v>
      </c>
    </row>
    <row r="694" spans="1:7" x14ac:dyDescent="0.3">
      <c r="A694" s="1" t="s">
        <v>755</v>
      </c>
      <c r="B694" s="1" t="s">
        <v>976</v>
      </c>
      <c r="C694" s="1" t="s">
        <v>865</v>
      </c>
      <c r="D694" s="2" t="str">
        <f>HYPERLINK("https://inventaire.cncp.gouv.fr/fiches/2412/","2412")</f>
        <v>2412</v>
      </c>
      <c r="E694" s="2" t="str">
        <f>HYPERLINK("http://www.intercariforef.org/formations/certification-94821.html","94821")</f>
        <v>94821</v>
      </c>
      <c r="F694" s="3">
        <v>42836</v>
      </c>
      <c r="G694" s="3">
        <v>42836</v>
      </c>
    </row>
    <row r="695" spans="1:7" x14ac:dyDescent="0.3">
      <c r="A695" s="1" t="s">
        <v>755</v>
      </c>
      <c r="B695" s="1" t="s">
        <v>977</v>
      </c>
      <c r="C695" s="1" t="s">
        <v>429</v>
      </c>
      <c r="D695" s="2" t="str">
        <f>HYPERLINK("https://inventaire.cncp.gouv.fr/fiches/2375/","2375")</f>
        <v>2375</v>
      </c>
      <c r="E695" s="2" t="str">
        <f>HYPERLINK("http://www.intercariforef.org/formations/certification-95247.html","95247")</f>
        <v>95247</v>
      </c>
      <c r="F695" s="3">
        <v>42851</v>
      </c>
      <c r="G695" s="3">
        <v>42851</v>
      </c>
    </row>
    <row r="696" spans="1:7" x14ac:dyDescent="0.3">
      <c r="A696" s="1" t="s">
        <v>755</v>
      </c>
      <c r="B696" s="1" t="s">
        <v>978</v>
      </c>
      <c r="C696" s="1" t="s">
        <v>979</v>
      </c>
      <c r="D696" s="2" t="str">
        <f>HYPERLINK("https://inventaire.cncp.gouv.fr/fiches/3225/","3225")</f>
        <v>3225</v>
      </c>
      <c r="E696" s="2" t="str">
        <f>HYPERLINK("http://www.intercariforef.org/formations/certification-100105.html","100105")</f>
        <v>100105</v>
      </c>
      <c r="F696" s="3">
        <v>43153</v>
      </c>
      <c r="G696" s="3">
        <v>43153</v>
      </c>
    </row>
    <row r="697" spans="1:7" x14ac:dyDescent="0.3">
      <c r="A697" s="1" t="s">
        <v>755</v>
      </c>
      <c r="B697" s="1" t="s">
        <v>980</v>
      </c>
      <c r="C697" s="1" t="s">
        <v>981</v>
      </c>
      <c r="D697" s="2" t="str">
        <f>HYPERLINK("https://inventaire.cncp.gouv.fr/fiches/3352/","3352")</f>
        <v>3352</v>
      </c>
      <c r="E697" s="2" t="str">
        <f>HYPERLINK("http://www.intercariforef.org/formations/certification-100161.html","100161")</f>
        <v>100161</v>
      </c>
      <c r="F697" s="3">
        <v>43154</v>
      </c>
      <c r="G697" s="3">
        <v>43154</v>
      </c>
    </row>
    <row r="698" spans="1:7" x14ac:dyDescent="0.3">
      <c r="A698" s="1" t="s">
        <v>755</v>
      </c>
      <c r="B698" s="1" t="s">
        <v>982</v>
      </c>
      <c r="C698" s="1" t="s">
        <v>983</v>
      </c>
      <c r="D698" s="2" t="str">
        <f>HYPERLINK("https://inventaire.cncp.gouv.fr/fiches/3366/","3366")</f>
        <v>3366</v>
      </c>
      <c r="E698" s="2" t="str">
        <f>HYPERLINK("http://www.intercariforef.org/formations/certification-100175.html","100175")</f>
        <v>100175</v>
      </c>
      <c r="F698" s="3">
        <v>43154</v>
      </c>
      <c r="G698" s="3">
        <v>43154</v>
      </c>
    </row>
    <row r="699" spans="1:7" x14ac:dyDescent="0.3">
      <c r="A699" s="1" t="s">
        <v>755</v>
      </c>
      <c r="B699" s="1" t="s">
        <v>984</v>
      </c>
      <c r="C699" s="1" t="s">
        <v>687</v>
      </c>
      <c r="D699" s="2" t="str">
        <f>HYPERLINK("https://inventaire.cncp.gouv.fr/fiches/1917/","1917")</f>
        <v>1917</v>
      </c>
      <c r="E699" s="2" t="str">
        <f>HYPERLINK("http://www.intercariforef.org/formations/certification-88599.html","88599")</f>
        <v>88599</v>
      </c>
      <c r="F699" s="3">
        <v>42482</v>
      </c>
      <c r="G699" s="3">
        <v>42718</v>
      </c>
    </row>
    <row r="700" spans="1:7" x14ac:dyDescent="0.3">
      <c r="A700" s="1" t="s">
        <v>755</v>
      </c>
      <c r="B700" s="1" t="s">
        <v>985</v>
      </c>
      <c r="C700" s="1" t="s">
        <v>854</v>
      </c>
      <c r="D700" s="2" t="str">
        <f>HYPERLINK("https://inventaire.cncp.gouv.fr/fiches/2632/","2632")</f>
        <v>2632</v>
      </c>
      <c r="E700" s="2" t="str">
        <f>HYPERLINK("http://www.intercariforef.org/formations/certification-95231.html","95231")</f>
        <v>95231</v>
      </c>
      <c r="F700" s="3">
        <v>42851</v>
      </c>
      <c r="G700" s="3">
        <v>42851</v>
      </c>
    </row>
    <row r="701" spans="1:7" x14ac:dyDescent="0.3">
      <c r="A701" s="1" t="s">
        <v>755</v>
      </c>
      <c r="B701" s="1" t="s">
        <v>986</v>
      </c>
      <c r="C701" s="1" t="s">
        <v>987</v>
      </c>
      <c r="D701" s="2" t="str">
        <f>HYPERLINK("https://inventaire.cncp.gouv.fr/fiches/1016/","1016")</f>
        <v>1016</v>
      </c>
      <c r="E701" s="2" t="str">
        <f>HYPERLINK("http://www.intercariforef.org/formations/certification-85173.html","85173")</f>
        <v>85173</v>
      </c>
      <c r="F701" s="3">
        <v>42201</v>
      </c>
      <c r="G701" s="3">
        <v>42718</v>
      </c>
    </row>
    <row r="702" spans="1:7" x14ac:dyDescent="0.3">
      <c r="A702" s="1" t="s">
        <v>755</v>
      </c>
      <c r="B702" s="1" t="s">
        <v>988</v>
      </c>
      <c r="C702" s="1" t="s">
        <v>407</v>
      </c>
      <c r="D702" s="2" t="str">
        <f>HYPERLINK("https://inventaire.cncp.gouv.fr/fiches/2166/","2166")</f>
        <v>2166</v>
      </c>
      <c r="E702" s="2" t="str">
        <f>HYPERLINK("http://www.intercariforef.org/formations/certification-90043.html","90043")</f>
        <v>90043</v>
      </c>
      <c r="F702" s="3">
        <v>42558</v>
      </c>
      <c r="G702" s="3">
        <v>42718</v>
      </c>
    </row>
    <row r="703" spans="1:7" x14ac:dyDescent="0.3">
      <c r="A703" s="1" t="s">
        <v>755</v>
      </c>
      <c r="B703" s="1" t="s">
        <v>989</v>
      </c>
      <c r="C703" s="1" t="s">
        <v>990</v>
      </c>
      <c r="D703" s="2" t="str">
        <f>HYPERLINK("https://inventaire.cncp.gouv.fr/fiches/2039/","2039")</f>
        <v>2039</v>
      </c>
      <c r="E703" s="2" t="str">
        <f>HYPERLINK("http://www.intercariforef.org/formations/certification-93969.html","93969")</f>
        <v>93969</v>
      </c>
      <c r="F703" s="3">
        <v>42745</v>
      </c>
      <c r="G703" s="3">
        <v>42745</v>
      </c>
    </row>
    <row r="704" spans="1:7" x14ac:dyDescent="0.3">
      <c r="A704" s="1" t="s">
        <v>755</v>
      </c>
      <c r="B704" s="1" t="s">
        <v>991</v>
      </c>
      <c r="C704" s="1" t="s">
        <v>992</v>
      </c>
      <c r="D704" s="2" t="str">
        <f>HYPERLINK("https://inventaire.cncp.gouv.fr/fiches/899/","899")</f>
        <v>899</v>
      </c>
      <c r="E704" s="2" t="str">
        <f>HYPERLINK("http://www.intercariforef.org/formations/certification-86335.html","86335")</f>
        <v>86335</v>
      </c>
      <c r="F704" s="3">
        <v>42338</v>
      </c>
      <c r="G704" s="3">
        <v>42338</v>
      </c>
    </row>
    <row r="705" spans="1:7" x14ac:dyDescent="0.3">
      <c r="A705" s="1" t="s">
        <v>755</v>
      </c>
      <c r="B705" s="1" t="s">
        <v>993</v>
      </c>
      <c r="C705" s="1" t="s">
        <v>992</v>
      </c>
      <c r="D705" s="2" t="str">
        <f>HYPERLINK("https://inventaire.cncp.gouv.fr/fiches/990/","990")</f>
        <v>990</v>
      </c>
      <c r="E705" s="2" t="str">
        <f>HYPERLINK("http://www.intercariforef.org/formations/certification-89205.html","89205")</f>
        <v>89205</v>
      </c>
      <c r="F705" s="3">
        <v>42521</v>
      </c>
      <c r="G705" s="3">
        <v>42521</v>
      </c>
    </row>
    <row r="706" spans="1:7" ht="26.2" x14ac:dyDescent="0.3">
      <c r="A706" s="1" t="s">
        <v>755</v>
      </c>
      <c r="B706" s="1" t="s">
        <v>994</v>
      </c>
      <c r="C706" s="1" t="s">
        <v>995</v>
      </c>
      <c r="D706" s="2" t="str">
        <f>HYPERLINK("https://inventaire.cncp.gouv.fr/fiches/1283/","1283")</f>
        <v>1283</v>
      </c>
      <c r="E706" s="2" t="str">
        <f>HYPERLINK("http://www.intercariforef.org/formations/certification-85532.html","85532")</f>
        <v>85532</v>
      </c>
      <c r="F706" s="3">
        <v>42269</v>
      </c>
      <c r="G706" s="3">
        <v>42269</v>
      </c>
    </row>
    <row r="707" spans="1:7" x14ac:dyDescent="0.3">
      <c r="A707" s="1" t="s">
        <v>755</v>
      </c>
      <c r="B707" s="1" t="s">
        <v>996</v>
      </c>
      <c r="C707" s="1" t="s">
        <v>350</v>
      </c>
      <c r="D707" s="2" t="str">
        <f>HYPERLINK("https://inventaire.cncp.gouv.fr/fiches/3283/","3283")</f>
        <v>3283</v>
      </c>
      <c r="E707" s="2" t="str">
        <f>HYPERLINK("http://www.intercariforef.org/formations/certification-104031.html","104031")</f>
        <v>104031</v>
      </c>
      <c r="F707" s="3">
        <v>43392</v>
      </c>
      <c r="G707" s="3">
        <v>43392</v>
      </c>
    </row>
    <row r="708" spans="1:7" x14ac:dyDescent="0.3">
      <c r="A708" s="1" t="s">
        <v>755</v>
      </c>
      <c r="B708" s="1" t="s">
        <v>997</v>
      </c>
      <c r="C708" s="1" t="s">
        <v>998</v>
      </c>
      <c r="D708" s="2" t="str">
        <f>HYPERLINK("https://inventaire.cncp.gouv.fr/fiches/3575/","3575")</f>
        <v>3575</v>
      </c>
      <c r="E708" s="2" t="str">
        <f>HYPERLINK("http://www.intercariforef.org/formations/certification-101165.html","101165")</f>
        <v>101165</v>
      </c>
      <c r="F708" s="3">
        <v>43250</v>
      </c>
      <c r="G708" s="3">
        <v>43250</v>
      </c>
    </row>
    <row r="709" spans="1:7" x14ac:dyDescent="0.3">
      <c r="A709" s="1" t="s">
        <v>755</v>
      </c>
      <c r="B709" s="1" t="s">
        <v>999</v>
      </c>
      <c r="C709" s="1" t="s">
        <v>1000</v>
      </c>
      <c r="D709" s="2" t="str">
        <f>HYPERLINK("https://inventaire.cncp.gouv.fr/fiches/3089/","3089")</f>
        <v>3089</v>
      </c>
      <c r="E709" s="2" t="str">
        <f>HYPERLINK("http://www.intercariforef.org/formations/certification-98399.html","98399")</f>
        <v>98399</v>
      </c>
      <c r="F709" s="3">
        <v>43027</v>
      </c>
      <c r="G709" s="3">
        <v>43027</v>
      </c>
    </row>
    <row r="710" spans="1:7" x14ac:dyDescent="0.3">
      <c r="A710" s="1" t="s">
        <v>755</v>
      </c>
      <c r="B710" s="1" t="s">
        <v>1001</v>
      </c>
      <c r="C710" s="1" t="s">
        <v>403</v>
      </c>
      <c r="D710" s="2" t="str">
        <f>HYPERLINK("https://inventaire.cncp.gouv.fr/fiches/3294/","3294")</f>
        <v>3294</v>
      </c>
      <c r="E710" s="2" t="str">
        <f>HYPERLINK("http://www.intercariforef.org/formations/certification-101247.html","101247")</f>
        <v>101247</v>
      </c>
      <c r="F710" s="3">
        <v>43255</v>
      </c>
      <c r="G710" s="3">
        <v>43255</v>
      </c>
    </row>
    <row r="711" spans="1:7" x14ac:dyDescent="0.3">
      <c r="A711" s="1" t="s">
        <v>755</v>
      </c>
      <c r="B711" s="1" t="s">
        <v>1002</v>
      </c>
      <c r="C711" s="1" t="s">
        <v>1003</v>
      </c>
      <c r="D711" s="2" t="str">
        <f>HYPERLINK("https://inventaire.cncp.gouv.fr/fiches/3546/","3546")</f>
        <v>3546</v>
      </c>
      <c r="E711" s="2" t="str">
        <f>HYPERLINK("http://www.intercariforef.org/formations/certification-100537.html","100537")</f>
        <v>100537</v>
      </c>
      <c r="F711" s="3">
        <v>43187</v>
      </c>
      <c r="G711" s="3">
        <v>43187</v>
      </c>
    </row>
    <row r="712" spans="1:7" x14ac:dyDescent="0.3">
      <c r="A712" s="1" t="s">
        <v>755</v>
      </c>
      <c r="B712" s="1" t="s">
        <v>1004</v>
      </c>
      <c r="C712" s="1" t="s">
        <v>1005</v>
      </c>
      <c r="D712" s="2" t="str">
        <f>HYPERLINK("https://inventaire.cncp.gouv.fr/fiches/3756/","3756")</f>
        <v>3756</v>
      </c>
      <c r="E712" s="2" t="str">
        <f>HYPERLINK("http://www.intercariforef.org/formations/certification-102181.html","102181")</f>
        <v>102181</v>
      </c>
      <c r="F712" s="3">
        <v>43293</v>
      </c>
      <c r="G712" s="3">
        <v>43293</v>
      </c>
    </row>
    <row r="713" spans="1:7" x14ac:dyDescent="0.3">
      <c r="A713" s="1" t="s">
        <v>755</v>
      </c>
      <c r="B713" s="1" t="s">
        <v>1006</v>
      </c>
      <c r="C713" s="1" t="s">
        <v>1005</v>
      </c>
      <c r="D713" s="2" t="str">
        <f>HYPERLINK("https://inventaire.cncp.gouv.fr/fiches/3769/","3769")</f>
        <v>3769</v>
      </c>
      <c r="E713" s="2" t="str">
        <f>HYPERLINK("http://www.intercariforef.org/formations/certification-102171.html","102171")</f>
        <v>102171</v>
      </c>
      <c r="F713" s="3">
        <v>43293</v>
      </c>
      <c r="G713" s="3">
        <v>43293</v>
      </c>
    </row>
    <row r="714" spans="1:7" x14ac:dyDescent="0.3">
      <c r="A714" s="1" t="s">
        <v>755</v>
      </c>
      <c r="B714" s="1" t="s">
        <v>1007</v>
      </c>
      <c r="C714" s="1" t="s">
        <v>1005</v>
      </c>
      <c r="D714" s="2" t="str">
        <f>HYPERLINK("https://inventaire.cncp.gouv.fr/fiches/3767/","3767")</f>
        <v>3767</v>
      </c>
      <c r="E714" s="2" t="str">
        <f>HYPERLINK("http://www.intercariforef.org/formations/certification-102175.html","102175")</f>
        <v>102175</v>
      </c>
      <c r="F714" s="3">
        <v>43293</v>
      </c>
      <c r="G714" s="3">
        <v>43293</v>
      </c>
    </row>
    <row r="715" spans="1:7" x14ac:dyDescent="0.3">
      <c r="A715" s="1" t="s">
        <v>755</v>
      </c>
      <c r="B715" s="1" t="s">
        <v>1008</v>
      </c>
      <c r="C715" s="1" t="s">
        <v>1005</v>
      </c>
      <c r="D715" s="2" t="str">
        <f>HYPERLINK("https://inventaire.cncp.gouv.fr/fiches/3768/","3768")</f>
        <v>3768</v>
      </c>
      <c r="E715" s="2" t="str">
        <f>HYPERLINK("http://www.intercariforef.org/formations/certification-102173.html","102173")</f>
        <v>102173</v>
      </c>
      <c r="F715" s="3">
        <v>43293</v>
      </c>
      <c r="G715" s="3">
        <v>43293</v>
      </c>
    </row>
    <row r="716" spans="1:7" x14ac:dyDescent="0.3">
      <c r="A716" s="1" t="s">
        <v>755</v>
      </c>
      <c r="B716" s="1" t="s">
        <v>1009</v>
      </c>
      <c r="C716" s="1" t="s">
        <v>1005</v>
      </c>
      <c r="D716" s="2" t="str">
        <f>HYPERLINK("https://inventaire.cncp.gouv.fr/fiches/3758/","3758")</f>
        <v>3758</v>
      </c>
      <c r="E716" s="2" t="str">
        <f>HYPERLINK("http://www.intercariforef.org/formations/certification-102179.html","102179")</f>
        <v>102179</v>
      </c>
      <c r="F716" s="3">
        <v>43293</v>
      </c>
      <c r="G716" s="3">
        <v>43293</v>
      </c>
    </row>
    <row r="717" spans="1:7" x14ac:dyDescent="0.3">
      <c r="A717" s="1" t="s">
        <v>755</v>
      </c>
      <c r="B717" s="1" t="s">
        <v>1010</v>
      </c>
      <c r="C717" s="1" t="s">
        <v>1005</v>
      </c>
      <c r="D717" s="2" t="str">
        <f>HYPERLINK("https://inventaire.cncp.gouv.fr/fiches/3657/","3657")</f>
        <v>3657</v>
      </c>
      <c r="E717" s="2" t="str">
        <f>HYPERLINK("http://www.intercariforef.org/formations/certification-102183.html","102183")</f>
        <v>102183</v>
      </c>
      <c r="F717" s="3">
        <v>43293</v>
      </c>
      <c r="G717" s="3">
        <v>43293</v>
      </c>
    </row>
    <row r="718" spans="1:7" x14ac:dyDescent="0.3">
      <c r="A718" s="1" t="s">
        <v>755</v>
      </c>
      <c r="B718" s="1" t="s">
        <v>1011</v>
      </c>
      <c r="C718" s="1" t="s">
        <v>1005</v>
      </c>
      <c r="D718" s="2" t="str">
        <f>HYPERLINK("https://inventaire.cncp.gouv.fr/fiches/3759/","3759")</f>
        <v>3759</v>
      </c>
      <c r="E718" s="2" t="str">
        <f>HYPERLINK("http://www.intercariforef.org/formations/certification-102177.html","102177")</f>
        <v>102177</v>
      </c>
      <c r="F718" s="3">
        <v>43293</v>
      </c>
      <c r="G718" s="3">
        <v>43293</v>
      </c>
    </row>
    <row r="719" spans="1:7" ht="26.2" x14ac:dyDescent="0.3">
      <c r="A719" s="1" t="s">
        <v>755</v>
      </c>
      <c r="B719" s="1" t="s">
        <v>1012</v>
      </c>
      <c r="C719" s="1" t="s">
        <v>1013</v>
      </c>
      <c r="D719" s="2" t="str">
        <f>HYPERLINK("https://inventaire.cncp.gouv.fr/fiches/2969/","2969")</f>
        <v>2969</v>
      </c>
      <c r="E719" s="2" t="str">
        <f>HYPERLINK("http://www.intercariforef.org/formations/certification-98405.html","98405")</f>
        <v>98405</v>
      </c>
      <c r="F719" s="3">
        <v>43027</v>
      </c>
      <c r="G719" s="3">
        <v>43027</v>
      </c>
    </row>
    <row r="720" spans="1:7" x14ac:dyDescent="0.3">
      <c r="A720" s="1" t="s">
        <v>755</v>
      </c>
      <c r="B720" s="1" t="s">
        <v>1014</v>
      </c>
      <c r="C720" s="1" t="s">
        <v>1013</v>
      </c>
      <c r="D720" s="2" t="str">
        <f>HYPERLINK("https://inventaire.cncp.gouv.fr/fiches/2971/","2971")</f>
        <v>2971</v>
      </c>
      <c r="E720" s="2" t="str">
        <f>HYPERLINK("http://www.intercariforef.org/formations/certification-98401.html","98401")</f>
        <v>98401</v>
      </c>
      <c r="F720" s="3">
        <v>43027</v>
      </c>
      <c r="G720" s="3">
        <v>43027</v>
      </c>
    </row>
    <row r="721" spans="1:7" x14ac:dyDescent="0.3">
      <c r="A721" s="1" t="s">
        <v>755</v>
      </c>
      <c r="B721" s="1" t="s">
        <v>1015</v>
      </c>
      <c r="C721" s="1" t="s">
        <v>678</v>
      </c>
      <c r="D721" s="2" t="str">
        <f>HYPERLINK("https://inventaire.cncp.gouv.fr/fiches/2982/","2982")</f>
        <v>2982</v>
      </c>
      <c r="E721" s="2" t="str">
        <f>HYPERLINK("http://www.intercariforef.org/formations/certification-96507.html","96507")</f>
        <v>96507</v>
      </c>
      <c r="F721" s="3">
        <v>42928</v>
      </c>
      <c r="G721" s="3">
        <v>42928</v>
      </c>
    </row>
    <row r="722" spans="1:7" x14ac:dyDescent="0.3">
      <c r="A722" s="1" t="s">
        <v>755</v>
      </c>
      <c r="B722" s="1" t="s">
        <v>1016</v>
      </c>
      <c r="C722" s="1" t="s">
        <v>422</v>
      </c>
      <c r="D722" s="2" t="str">
        <f>HYPERLINK("https://inventaire.cncp.gouv.fr/fiches/3421/","3421")</f>
        <v>3421</v>
      </c>
      <c r="E722" s="2" t="str">
        <f>HYPERLINK("http://www.intercariforef.org/formations/certification-100621.html","100621")</f>
        <v>100621</v>
      </c>
      <c r="F722" s="3">
        <v>43193</v>
      </c>
      <c r="G722" s="3">
        <v>43193</v>
      </c>
    </row>
    <row r="723" spans="1:7" x14ac:dyDescent="0.3">
      <c r="A723" s="1" t="s">
        <v>755</v>
      </c>
      <c r="B723" s="1" t="s">
        <v>1016</v>
      </c>
      <c r="C723" s="1" t="s">
        <v>1017</v>
      </c>
      <c r="D723" s="2" t="str">
        <f>HYPERLINK("https://inventaire.cncp.gouv.fr/fiches/3520/","3520")</f>
        <v>3520</v>
      </c>
      <c r="E723" s="2" t="str">
        <f>HYPERLINK("http://www.intercariforef.org/formations/certification-100639.html","100639")</f>
        <v>100639</v>
      </c>
      <c r="F723" s="3">
        <v>43194</v>
      </c>
      <c r="G723" s="3">
        <v>43194</v>
      </c>
    </row>
    <row r="724" spans="1:7" ht="26.2" x14ac:dyDescent="0.3">
      <c r="A724" s="1" t="s">
        <v>755</v>
      </c>
      <c r="B724" s="1" t="s">
        <v>1018</v>
      </c>
      <c r="C724" s="1" t="s">
        <v>1019</v>
      </c>
      <c r="D724" s="2" t="str">
        <f>HYPERLINK("https://inventaire.cncp.gouv.fr/fiches/2528/","2528")</f>
        <v>2528</v>
      </c>
      <c r="E724" s="2" t="str">
        <f>HYPERLINK("http://www.intercariforef.org/formations/certification-93779.html","93779")</f>
        <v>93779</v>
      </c>
      <c r="F724" s="3">
        <v>42725</v>
      </c>
      <c r="G724" s="3">
        <v>42979</v>
      </c>
    </row>
    <row r="725" spans="1:7" x14ac:dyDescent="0.3">
      <c r="A725" s="1" t="s">
        <v>755</v>
      </c>
      <c r="B725" s="1" t="s">
        <v>1020</v>
      </c>
      <c r="C725" s="1" t="s">
        <v>350</v>
      </c>
      <c r="D725" s="2" t="str">
        <f>HYPERLINK("https://inventaire.cncp.gouv.fr/fiches/1164/","1164")</f>
        <v>1164</v>
      </c>
      <c r="E725" s="2" t="str">
        <f>HYPERLINK("http://www.intercariforef.org/formations/certification-86383.html","86383")</f>
        <v>86383</v>
      </c>
      <c r="F725" s="3">
        <v>42340</v>
      </c>
      <c r="G725" s="3">
        <v>43392</v>
      </c>
    </row>
    <row r="726" spans="1:7" ht="26.2" x14ac:dyDescent="0.3">
      <c r="A726" s="1" t="s">
        <v>755</v>
      </c>
      <c r="B726" s="1" t="s">
        <v>1021</v>
      </c>
      <c r="C726" s="1" t="s">
        <v>1019</v>
      </c>
      <c r="D726" s="2" t="str">
        <f>HYPERLINK("https://inventaire.cncp.gouv.fr/fiches/2526/","2526")</f>
        <v>2526</v>
      </c>
      <c r="E726" s="2" t="str">
        <f>HYPERLINK("http://www.intercariforef.org/formations/certification-93781.html","93781")</f>
        <v>93781</v>
      </c>
      <c r="F726" s="3">
        <v>42725</v>
      </c>
      <c r="G726" s="3">
        <v>42979</v>
      </c>
    </row>
    <row r="727" spans="1:7" ht="26.2" x14ac:dyDescent="0.3">
      <c r="A727" s="1" t="s">
        <v>755</v>
      </c>
      <c r="B727" s="1" t="s">
        <v>1022</v>
      </c>
      <c r="C727" s="1" t="s">
        <v>1019</v>
      </c>
      <c r="D727" s="2" t="str">
        <f>HYPERLINK("https://inventaire.cncp.gouv.fr/fiches/2542/","2542")</f>
        <v>2542</v>
      </c>
      <c r="E727" s="2" t="str">
        <f>HYPERLINK("http://www.intercariforef.org/formations/certification-93777.html","93777")</f>
        <v>93777</v>
      </c>
      <c r="F727" s="3">
        <v>42725</v>
      </c>
      <c r="G727" s="3">
        <v>42979</v>
      </c>
    </row>
    <row r="728" spans="1:7" x14ac:dyDescent="0.3">
      <c r="A728" s="1" t="s">
        <v>755</v>
      </c>
      <c r="B728" s="1" t="s">
        <v>1023</v>
      </c>
      <c r="C728" s="1" t="s">
        <v>413</v>
      </c>
      <c r="D728" s="2" t="str">
        <f>HYPERLINK("https://inventaire.cncp.gouv.fr/fiches/2156/","2156")</f>
        <v>2156</v>
      </c>
      <c r="E728" s="2" t="str">
        <f>HYPERLINK("http://www.intercariforef.org/formations/certification-90067.html","90067")</f>
        <v>90067</v>
      </c>
      <c r="F728" s="3">
        <v>42559</v>
      </c>
      <c r="G728" s="3">
        <v>42979</v>
      </c>
    </row>
    <row r="729" spans="1:7" x14ac:dyDescent="0.3">
      <c r="A729" s="1" t="s">
        <v>755</v>
      </c>
      <c r="B729" s="1" t="s">
        <v>1024</v>
      </c>
      <c r="C729" s="1" t="s">
        <v>1025</v>
      </c>
      <c r="D729" s="2" t="str">
        <f>HYPERLINK("https://inventaire.cncp.gouv.fr/fiches/3955/","3955")</f>
        <v>3955</v>
      </c>
      <c r="E729" s="2" t="str">
        <f>HYPERLINK("http://www.intercariforef.org/formations/certification-104101.html","104101")</f>
        <v>104101</v>
      </c>
      <c r="F729" s="3">
        <v>43398</v>
      </c>
      <c r="G729" s="3">
        <v>43398</v>
      </c>
    </row>
    <row r="730" spans="1:7" x14ac:dyDescent="0.3">
      <c r="A730" s="1" t="s">
        <v>755</v>
      </c>
      <c r="B730" s="1" t="s">
        <v>1026</v>
      </c>
      <c r="C730" s="1" t="s">
        <v>350</v>
      </c>
      <c r="D730" s="2" t="str">
        <f>HYPERLINK("https://inventaire.cncp.gouv.fr/fiches/3284/","3284")</f>
        <v>3284</v>
      </c>
      <c r="E730" s="2" t="str">
        <f>HYPERLINK("http://www.intercariforef.org/formations/certification-104027.html","104027")</f>
        <v>104027</v>
      </c>
      <c r="F730" s="3">
        <v>43392</v>
      </c>
      <c r="G730" s="3">
        <v>43392</v>
      </c>
    </row>
    <row r="731" spans="1:7" x14ac:dyDescent="0.3">
      <c r="A731" s="1" t="s">
        <v>755</v>
      </c>
      <c r="B731" s="1" t="s">
        <v>1027</v>
      </c>
      <c r="C731" s="1" t="s">
        <v>1013</v>
      </c>
      <c r="D731" s="2" t="str">
        <f>HYPERLINK("https://inventaire.cncp.gouv.fr/fiches/2970/","2970")</f>
        <v>2970</v>
      </c>
      <c r="E731" s="2" t="str">
        <f>HYPERLINK("http://www.intercariforef.org/formations/certification-98403.html","98403")</f>
        <v>98403</v>
      </c>
      <c r="F731" s="3">
        <v>43027</v>
      </c>
      <c r="G731" s="3">
        <v>43027</v>
      </c>
    </row>
    <row r="732" spans="1:7" x14ac:dyDescent="0.3">
      <c r="A732" s="1" t="s">
        <v>755</v>
      </c>
      <c r="B732" s="1" t="s">
        <v>1028</v>
      </c>
      <c r="C732" s="1" t="s">
        <v>458</v>
      </c>
      <c r="D732" s="2" t="str">
        <f>HYPERLINK("https://inventaire.cncp.gouv.fr/fiches/2782/","2782")</f>
        <v>2782</v>
      </c>
      <c r="E732" s="2" t="str">
        <f>HYPERLINK("http://www.intercariforef.org/formations/certification-95637.html","95637")</f>
        <v>95637</v>
      </c>
      <c r="F732" s="3">
        <v>42893</v>
      </c>
      <c r="G732" s="3">
        <v>42893</v>
      </c>
    </row>
    <row r="733" spans="1:7" x14ac:dyDescent="0.3">
      <c r="A733" s="1" t="s">
        <v>755</v>
      </c>
      <c r="B733" s="1" t="s">
        <v>1029</v>
      </c>
      <c r="C733" s="1" t="s">
        <v>1030</v>
      </c>
      <c r="D733" s="2" t="str">
        <f>HYPERLINK("https://inventaire.cncp.gouv.fr/fiches/2365/","2365")</f>
        <v>2365</v>
      </c>
      <c r="E733" s="2" t="str">
        <f>HYPERLINK("http://www.intercariforef.org/formations/certification-95249.html","95249")</f>
        <v>95249</v>
      </c>
      <c r="F733" s="3">
        <v>42851</v>
      </c>
      <c r="G733" s="3">
        <v>42851</v>
      </c>
    </row>
    <row r="734" spans="1:7" x14ac:dyDescent="0.3">
      <c r="A734" s="1" t="s">
        <v>755</v>
      </c>
      <c r="B734" s="1" t="s">
        <v>1031</v>
      </c>
      <c r="C734" s="1" t="s">
        <v>1032</v>
      </c>
      <c r="D734" s="2" t="str">
        <f>HYPERLINK("https://inventaire.cncp.gouv.fr/fiches/3288/","3288")</f>
        <v>3288</v>
      </c>
      <c r="E734" s="2" t="str">
        <f>HYPERLINK("http://www.intercariforef.org/formations/certification-101343.html","101343")</f>
        <v>101343</v>
      </c>
      <c r="F734" s="3">
        <v>43256</v>
      </c>
      <c r="G734" s="3">
        <v>43256</v>
      </c>
    </row>
    <row r="735" spans="1:7" x14ac:dyDescent="0.3">
      <c r="A735" s="1" t="s">
        <v>755</v>
      </c>
      <c r="B735" s="1" t="s">
        <v>1033</v>
      </c>
      <c r="C735" s="1" t="s">
        <v>1034</v>
      </c>
      <c r="D735" s="2" t="str">
        <f>HYPERLINK("https://inventaire.cncp.gouv.fr/fiches/3022/","3022")</f>
        <v>3022</v>
      </c>
      <c r="E735" s="2" t="str">
        <f>HYPERLINK("http://www.intercariforef.org/formations/certification-97137.html","97137")</f>
        <v>97137</v>
      </c>
      <c r="F735" s="3">
        <v>42983</v>
      </c>
      <c r="G735" s="3">
        <v>42983</v>
      </c>
    </row>
    <row r="736" spans="1:7" x14ac:dyDescent="0.3">
      <c r="A736" s="1" t="s">
        <v>755</v>
      </c>
      <c r="B736" s="1" t="s">
        <v>1035</v>
      </c>
      <c r="C736" s="1" t="s">
        <v>776</v>
      </c>
      <c r="D736" s="2" t="str">
        <f>HYPERLINK("https://inventaire.cncp.gouv.fr/fiches/3682/","3682")</f>
        <v>3682</v>
      </c>
      <c r="E736" s="2" t="str">
        <f>HYPERLINK("http://www.intercariforef.org/formations/certification-103995.html","103995")</f>
        <v>103995</v>
      </c>
      <c r="F736" s="3">
        <v>43392</v>
      </c>
      <c r="G736" s="3">
        <v>43392</v>
      </c>
    </row>
    <row r="737" spans="1:7" x14ac:dyDescent="0.3">
      <c r="A737" s="1" t="s">
        <v>755</v>
      </c>
      <c r="B737" s="1" t="s">
        <v>1036</v>
      </c>
      <c r="C737" s="1" t="s">
        <v>865</v>
      </c>
      <c r="D737" s="2" t="str">
        <f>HYPERLINK("https://inventaire.cncp.gouv.fr/fiches/2414/","2414")</f>
        <v>2414</v>
      </c>
      <c r="E737" s="2" t="str">
        <f>HYPERLINK("http://www.intercariforef.org/formations/certification-94879.html","94879")</f>
        <v>94879</v>
      </c>
      <c r="F737" s="3">
        <v>42836</v>
      </c>
      <c r="G737" s="3">
        <v>42836</v>
      </c>
    </row>
    <row r="738" spans="1:7" x14ac:dyDescent="0.3">
      <c r="A738" s="1" t="s">
        <v>755</v>
      </c>
      <c r="B738" s="1" t="s">
        <v>1037</v>
      </c>
      <c r="C738" s="1" t="s">
        <v>470</v>
      </c>
      <c r="D738" s="2" t="str">
        <f>HYPERLINK("https://inventaire.cncp.gouv.fr/fiches/3257/","3257")</f>
        <v>3257</v>
      </c>
      <c r="E738" s="2" t="str">
        <f>HYPERLINK("http://www.intercariforef.org/formations/certification-99181.html","99181")</f>
        <v>99181</v>
      </c>
      <c r="F738" s="3">
        <v>43076</v>
      </c>
      <c r="G738" s="3">
        <v>43076</v>
      </c>
    </row>
    <row r="739" spans="1:7" x14ac:dyDescent="0.3">
      <c r="A739" s="1" t="s">
        <v>755</v>
      </c>
      <c r="B739" s="1" t="s">
        <v>1038</v>
      </c>
      <c r="C739" s="1" t="s">
        <v>436</v>
      </c>
      <c r="D739" s="2" t="str">
        <f>HYPERLINK("https://inventaire.cncp.gouv.fr/fiches/629/","629")</f>
        <v>629</v>
      </c>
      <c r="E739" s="2" t="str">
        <f>HYPERLINK("http://www.intercariforef.org/formations/certification-85174.html","85174")</f>
        <v>85174</v>
      </c>
      <c r="F739" s="3">
        <v>42201</v>
      </c>
      <c r="G739" s="3">
        <v>42718</v>
      </c>
    </row>
    <row r="740" spans="1:7" x14ac:dyDescent="0.3">
      <c r="A740" s="1" t="s">
        <v>755</v>
      </c>
      <c r="B740" s="1" t="s">
        <v>1039</v>
      </c>
      <c r="C740" s="1" t="s">
        <v>1040</v>
      </c>
      <c r="D740" s="2" t="str">
        <f>HYPERLINK("https://inventaire.cncp.gouv.fr/fiches/3409/","3409")</f>
        <v>3409</v>
      </c>
      <c r="E740" s="2" t="str">
        <f>HYPERLINK("http://www.intercariforef.org/formations/certification-100005.html","100005")</f>
        <v>100005</v>
      </c>
      <c r="F740" s="3">
        <v>43151</v>
      </c>
      <c r="G740" s="3">
        <v>43151</v>
      </c>
    </row>
    <row r="741" spans="1:7" x14ac:dyDescent="0.3">
      <c r="A741" s="1" t="s">
        <v>755</v>
      </c>
      <c r="B741" s="1" t="s">
        <v>1041</v>
      </c>
      <c r="C741" s="1" t="s">
        <v>413</v>
      </c>
      <c r="D741" s="2" t="str">
        <f>HYPERLINK("https://inventaire.cncp.gouv.fr/fiches/2178/","2178")</f>
        <v>2178</v>
      </c>
      <c r="E741" s="2" t="str">
        <f>HYPERLINK("http://www.intercariforef.org/formations/certification-90041.html","90041")</f>
        <v>90041</v>
      </c>
      <c r="F741" s="3">
        <v>42558</v>
      </c>
      <c r="G741" s="3">
        <v>42979</v>
      </c>
    </row>
    <row r="742" spans="1:7" x14ac:dyDescent="0.3">
      <c r="A742" s="1" t="s">
        <v>755</v>
      </c>
      <c r="B742" s="1" t="s">
        <v>1042</v>
      </c>
      <c r="C742" s="1" t="s">
        <v>1043</v>
      </c>
      <c r="D742" s="2" t="str">
        <f>HYPERLINK("https://inventaire.cncp.gouv.fr/fiches/3368/","3368")</f>
        <v>3368</v>
      </c>
      <c r="E742" s="2" t="str">
        <f>HYPERLINK("http://www.intercariforef.org/formations/certification-100043.html","100043")</f>
        <v>100043</v>
      </c>
      <c r="F742" s="3">
        <v>43152</v>
      </c>
      <c r="G742" s="3">
        <v>43152</v>
      </c>
    </row>
    <row r="743" spans="1:7" x14ac:dyDescent="0.3">
      <c r="A743" s="1" t="s">
        <v>755</v>
      </c>
      <c r="B743" s="1" t="s">
        <v>1044</v>
      </c>
      <c r="C743" s="1" t="s">
        <v>1045</v>
      </c>
      <c r="D743" s="2" t="str">
        <f>HYPERLINK("https://inventaire.cncp.gouv.fr/fiches/2527/","2527")</f>
        <v>2527</v>
      </c>
      <c r="E743" s="2" t="str">
        <f>HYPERLINK("http://www.intercariforef.org/formations/certification-96863.html","96863")</f>
        <v>96863</v>
      </c>
      <c r="F743" s="3">
        <v>42937</v>
      </c>
      <c r="G743" s="3">
        <v>42937</v>
      </c>
    </row>
    <row r="744" spans="1:7" x14ac:dyDescent="0.3">
      <c r="A744" s="1" t="s">
        <v>755</v>
      </c>
      <c r="B744" s="1" t="s">
        <v>1046</v>
      </c>
      <c r="C744" s="1" t="s">
        <v>397</v>
      </c>
      <c r="D744" s="2" t="str">
        <f>HYPERLINK("https://inventaire.cncp.gouv.fr/fiches/3350/","3350")</f>
        <v>3350</v>
      </c>
      <c r="E744" s="2" t="str">
        <f>HYPERLINK("http://www.intercariforef.org/formations/certification-100047.html","100047")</f>
        <v>100047</v>
      </c>
      <c r="F744" s="3">
        <v>43152</v>
      </c>
      <c r="G744" s="3">
        <v>43152</v>
      </c>
    </row>
    <row r="745" spans="1:7" ht="26.2" x14ac:dyDescent="0.3">
      <c r="A745" s="1" t="s">
        <v>755</v>
      </c>
      <c r="B745" s="1" t="s">
        <v>1047</v>
      </c>
      <c r="C745" s="1" t="s">
        <v>990</v>
      </c>
      <c r="D745" s="2" t="str">
        <f>HYPERLINK("https://inventaire.cncp.gouv.fr/fiches/2133/","2133")</f>
        <v>2133</v>
      </c>
      <c r="E745" s="2" t="str">
        <f>HYPERLINK("http://www.intercariforef.org/formations/certification-93833.html","93833")</f>
        <v>93833</v>
      </c>
      <c r="F745" s="3">
        <v>42740</v>
      </c>
      <c r="G745" s="3">
        <v>42740</v>
      </c>
    </row>
    <row r="746" spans="1:7" x14ac:dyDescent="0.3">
      <c r="A746" s="1" t="s">
        <v>755</v>
      </c>
      <c r="B746" s="1" t="s">
        <v>1048</v>
      </c>
      <c r="C746" s="1" t="s">
        <v>983</v>
      </c>
      <c r="D746" s="2" t="str">
        <f>HYPERLINK("https://inventaire.cncp.gouv.fr/fiches/2581/","2581")</f>
        <v>2581</v>
      </c>
      <c r="E746" s="2" t="str">
        <f>HYPERLINK("http://www.intercariforef.org/formations/certification-98539.html","98539")</f>
        <v>98539</v>
      </c>
      <c r="F746" s="3">
        <v>43034</v>
      </c>
      <c r="G746" s="3">
        <v>43034</v>
      </c>
    </row>
    <row r="747" spans="1:7" x14ac:dyDescent="0.3">
      <c r="A747" s="1" t="s">
        <v>755</v>
      </c>
      <c r="B747" s="1" t="s">
        <v>1049</v>
      </c>
      <c r="C747" s="1" t="s">
        <v>1050</v>
      </c>
      <c r="D747" s="2" t="str">
        <f>HYPERLINK("https://inventaire.cncp.gouv.fr/fiches/4082/","4082")</f>
        <v>4082</v>
      </c>
      <c r="E747" s="2" t="str">
        <f>HYPERLINK("http://www.intercariforef.org/formations/certification-104087.html","104087")</f>
        <v>104087</v>
      </c>
      <c r="F747" s="3">
        <v>43397</v>
      </c>
      <c r="G747" s="3">
        <v>43397</v>
      </c>
    </row>
    <row r="748" spans="1:7" x14ac:dyDescent="0.3">
      <c r="A748" s="1" t="s">
        <v>755</v>
      </c>
      <c r="B748" s="1" t="s">
        <v>1051</v>
      </c>
      <c r="C748" s="1" t="s">
        <v>983</v>
      </c>
      <c r="D748" s="2" t="str">
        <f>HYPERLINK("https://inventaire.cncp.gouv.fr/fiches/2572/","2572")</f>
        <v>2572</v>
      </c>
      <c r="E748" s="2" t="str">
        <f>HYPERLINK("http://www.intercariforef.org/formations/certification-96795.html","96795")</f>
        <v>96795</v>
      </c>
      <c r="F748" s="3">
        <v>42934</v>
      </c>
      <c r="G748" s="3">
        <v>42934</v>
      </c>
    </row>
    <row r="749" spans="1:7" x14ac:dyDescent="0.3">
      <c r="A749" s="1" t="s">
        <v>755</v>
      </c>
      <c r="B749" s="1" t="s">
        <v>1052</v>
      </c>
      <c r="C749" s="1" t="s">
        <v>397</v>
      </c>
      <c r="D749" s="2" t="str">
        <f>HYPERLINK("https://inventaire.cncp.gouv.fr/fiches/3280/","3280")</f>
        <v>3280</v>
      </c>
      <c r="E749" s="2" t="str">
        <f>HYPERLINK("http://www.intercariforef.org/formations/certification-100107.html","100107")</f>
        <v>100107</v>
      </c>
      <c r="F749" s="3">
        <v>43153</v>
      </c>
      <c r="G749" s="3">
        <v>43319</v>
      </c>
    </row>
    <row r="750" spans="1:7" x14ac:dyDescent="0.3">
      <c r="A750" s="1" t="s">
        <v>755</v>
      </c>
      <c r="B750" s="1" t="s">
        <v>1053</v>
      </c>
      <c r="C750" s="1" t="s">
        <v>698</v>
      </c>
      <c r="D750" s="2" t="str">
        <f>HYPERLINK("https://inventaire.cncp.gouv.fr/fiches/2429/","2429")</f>
        <v>2429</v>
      </c>
      <c r="E750" s="2" t="str">
        <f>HYPERLINK("http://www.intercariforef.org/formations/certification-94949.html","94949")</f>
        <v>94949</v>
      </c>
      <c r="F750" s="3">
        <v>42837</v>
      </c>
      <c r="G750" s="3">
        <v>42877</v>
      </c>
    </row>
    <row r="751" spans="1:7" x14ac:dyDescent="0.3">
      <c r="A751" s="1" t="s">
        <v>755</v>
      </c>
      <c r="B751" s="1" t="s">
        <v>1054</v>
      </c>
      <c r="C751" s="1" t="s">
        <v>602</v>
      </c>
      <c r="D751" s="2" t="str">
        <f>HYPERLINK("https://inventaire.cncp.gouv.fr/fiches/1061/","1061")</f>
        <v>1061</v>
      </c>
      <c r="E751" s="2" t="str">
        <f>HYPERLINK("http://www.intercariforef.org/formations/certification-86206.html","86206")</f>
        <v>86206</v>
      </c>
      <c r="F751" s="3">
        <v>42318</v>
      </c>
      <c r="G751" s="3">
        <v>42718</v>
      </c>
    </row>
    <row r="752" spans="1:7" x14ac:dyDescent="0.3">
      <c r="A752" s="1" t="s">
        <v>755</v>
      </c>
      <c r="B752" s="1" t="s">
        <v>1055</v>
      </c>
      <c r="C752" s="1" t="s">
        <v>602</v>
      </c>
      <c r="D752" s="2" t="str">
        <f>HYPERLINK("https://inventaire.cncp.gouv.fr/fiches/1062/","1062")</f>
        <v>1062</v>
      </c>
      <c r="E752" s="2" t="str">
        <f>HYPERLINK("http://www.intercariforef.org/formations/certification-86207.html","86207")</f>
        <v>86207</v>
      </c>
      <c r="F752" s="3">
        <v>42318</v>
      </c>
      <c r="G752" s="3">
        <v>42718</v>
      </c>
    </row>
    <row r="753" spans="1:7" x14ac:dyDescent="0.3">
      <c r="A753" s="1" t="s">
        <v>755</v>
      </c>
      <c r="B753" s="1" t="s">
        <v>1056</v>
      </c>
      <c r="C753" s="1" t="s">
        <v>1057</v>
      </c>
      <c r="D753" s="2" t="str">
        <f>HYPERLINK("https://inventaire.cncp.gouv.fr/fiches/3103/","3103")</f>
        <v>3103</v>
      </c>
      <c r="E753" s="2" t="str">
        <f>HYPERLINK("http://www.intercariforef.org/formations/certification-98493.html","98493")</f>
        <v>98493</v>
      </c>
      <c r="F753" s="3">
        <v>43032</v>
      </c>
      <c r="G753" s="3">
        <v>43032</v>
      </c>
    </row>
    <row r="754" spans="1:7" x14ac:dyDescent="0.3">
      <c r="A754" s="1" t="s">
        <v>755</v>
      </c>
      <c r="B754" s="1" t="s">
        <v>1058</v>
      </c>
      <c r="C754" s="1" t="s">
        <v>602</v>
      </c>
      <c r="D754" s="2" t="str">
        <f>HYPERLINK("https://inventaire.cncp.gouv.fr/fiches/1058/","1058")</f>
        <v>1058</v>
      </c>
      <c r="E754" s="2" t="str">
        <f>HYPERLINK("http://www.intercariforef.org/formations/certification-86205.html","86205")</f>
        <v>86205</v>
      </c>
      <c r="F754" s="3">
        <v>42318</v>
      </c>
      <c r="G754" s="3">
        <v>42718</v>
      </c>
    </row>
    <row r="755" spans="1:7" x14ac:dyDescent="0.3">
      <c r="A755" s="1" t="s">
        <v>755</v>
      </c>
      <c r="B755" s="1" t="s">
        <v>1059</v>
      </c>
      <c r="C755" s="1" t="s">
        <v>760</v>
      </c>
      <c r="D755" s="2" t="str">
        <f>HYPERLINK("https://inventaire.cncp.gouv.fr/fiches/697/","697")</f>
        <v>697</v>
      </c>
      <c r="E755" s="2" t="str">
        <f>HYPERLINK("http://www.intercariforef.org/formations/certification-88643.html","88643")</f>
        <v>88643</v>
      </c>
      <c r="F755" s="3">
        <v>42486</v>
      </c>
      <c r="G755" s="3">
        <v>42718</v>
      </c>
    </row>
    <row r="756" spans="1:7" x14ac:dyDescent="0.3">
      <c r="A756" s="1" t="s">
        <v>755</v>
      </c>
      <c r="B756" s="1" t="s">
        <v>1060</v>
      </c>
      <c r="C756" s="1" t="s">
        <v>1061</v>
      </c>
      <c r="D756" s="2" t="str">
        <f>HYPERLINK("https://inventaire.cncp.gouv.fr/fiches/1930/","1930")</f>
        <v>1930</v>
      </c>
      <c r="E756" s="2" t="str">
        <f>HYPERLINK("http://www.intercariforef.org/formations/certification-88575.html","88575")</f>
        <v>88575</v>
      </c>
      <c r="F756" s="3">
        <v>42481</v>
      </c>
      <c r="G756" s="3">
        <v>42481</v>
      </c>
    </row>
    <row r="757" spans="1:7" x14ac:dyDescent="0.3">
      <c r="A757" s="1" t="s">
        <v>755</v>
      </c>
      <c r="B757" s="1" t="s">
        <v>1062</v>
      </c>
      <c r="C757" s="1" t="s">
        <v>776</v>
      </c>
      <c r="D757" s="2" t="str">
        <f>HYPERLINK("https://inventaire.cncp.gouv.fr/fiches/3623/","3623")</f>
        <v>3623</v>
      </c>
      <c r="E757" s="2" t="str">
        <f>HYPERLINK("http://www.intercariforef.org/formations/certification-101241.html","101241")</f>
        <v>101241</v>
      </c>
      <c r="F757" s="3">
        <v>43255</v>
      </c>
      <c r="G757" s="3">
        <v>43279</v>
      </c>
    </row>
    <row r="758" spans="1:7" x14ac:dyDescent="0.3">
      <c r="A758" s="1" t="s">
        <v>755</v>
      </c>
      <c r="B758" s="1" t="s">
        <v>1063</v>
      </c>
      <c r="C758" s="1" t="s">
        <v>767</v>
      </c>
      <c r="D758" s="2" t="str">
        <f>HYPERLINK("https://inventaire.cncp.gouv.fr/fiches/3477/","3477")</f>
        <v>3477</v>
      </c>
      <c r="E758" s="2" t="str">
        <f>HYPERLINK("http://www.intercariforef.org/formations/certification-103967.html","103967")</f>
        <v>103967</v>
      </c>
      <c r="F758" s="3">
        <v>43391</v>
      </c>
      <c r="G758" s="3">
        <v>43391</v>
      </c>
    </row>
    <row r="759" spans="1:7" x14ac:dyDescent="0.3">
      <c r="A759" s="1" t="s">
        <v>755</v>
      </c>
      <c r="B759" s="1" t="s">
        <v>1064</v>
      </c>
      <c r="C759" s="1" t="s">
        <v>983</v>
      </c>
      <c r="D759" s="2" t="str">
        <f>HYPERLINK("https://inventaire.cncp.gouv.fr/fiches/2579/","2579")</f>
        <v>2579</v>
      </c>
      <c r="E759" s="2" t="str">
        <f>HYPERLINK("http://www.intercariforef.org/formations/certification-96871.html","96871")</f>
        <v>96871</v>
      </c>
      <c r="F759" s="3">
        <v>42937</v>
      </c>
      <c r="G759" s="3">
        <v>42937</v>
      </c>
    </row>
    <row r="760" spans="1:7" x14ac:dyDescent="0.3">
      <c r="A760" s="1" t="s">
        <v>755</v>
      </c>
      <c r="B760" s="1" t="s">
        <v>1065</v>
      </c>
      <c r="C760" s="1" t="s">
        <v>397</v>
      </c>
      <c r="D760" s="2" t="str">
        <f>HYPERLINK("https://inventaire.cncp.gouv.fr/fiches/2985/","2985")</f>
        <v>2985</v>
      </c>
      <c r="E760" s="2" t="str">
        <f>HYPERLINK("http://www.intercariforef.org/formations/certification-96503.html","96503")</f>
        <v>96503</v>
      </c>
      <c r="F760" s="3">
        <v>42928</v>
      </c>
      <c r="G760" s="3">
        <v>43152</v>
      </c>
    </row>
    <row r="761" spans="1:7" x14ac:dyDescent="0.3">
      <c r="A761" s="1" t="s">
        <v>755</v>
      </c>
      <c r="B761" s="1" t="s">
        <v>1066</v>
      </c>
      <c r="C761" s="1" t="s">
        <v>1067</v>
      </c>
      <c r="D761" s="2" t="str">
        <f>HYPERLINK("https://inventaire.cncp.gouv.fr/fiches/2148/","2148")</f>
        <v>2148</v>
      </c>
      <c r="E761" s="2" t="str">
        <f>HYPERLINK("http://www.intercariforef.org/formations/certification-92147.html","92147")</f>
        <v>92147</v>
      </c>
      <c r="F761" s="3">
        <v>42667</v>
      </c>
      <c r="G761" s="3">
        <v>42667</v>
      </c>
    </row>
    <row r="762" spans="1:7" x14ac:dyDescent="0.3">
      <c r="A762" s="1" t="s">
        <v>755</v>
      </c>
      <c r="B762" s="1" t="s">
        <v>1068</v>
      </c>
      <c r="C762" s="1" t="s">
        <v>192</v>
      </c>
      <c r="D762" s="2" t="str">
        <f>HYPERLINK("https://inventaire.cncp.gouv.fr/fiches/2368/","2368")</f>
        <v>2368</v>
      </c>
      <c r="E762" s="2" t="str">
        <f>HYPERLINK("http://www.intercariforef.org/formations/certification-92077.html","92077")</f>
        <v>92077</v>
      </c>
      <c r="F762" s="3">
        <v>42667</v>
      </c>
      <c r="G762" s="3">
        <v>42667</v>
      </c>
    </row>
    <row r="763" spans="1:7" x14ac:dyDescent="0.3">
      <c r="A763" s="1" t="s">
        <v>755</v>
      </c>
      <c r="B763" s="1" t="s">
        <v>1069</v>
      </c>
      <c r="C763" s="1" t="s">
        <v>998</v>
      </c>
      <c r="D763" s="2" t="str">
        <f>HYPERLINK("https://inventaire.cncp.gouv.fr/fiches/3580/","3580")</f>
        <v>3580</v>
      </c>
      <c r="E763" s="2" t="str">
        <f>HYPERLINK("http://www.intercariforef.org/formations/certification-101163.html","101163")</f>
        <v>101163</v>
      </c>
      <c r="F763" s="3">
        <v>43250</v>
      </c>
      <c r="G763" s="3">
        <v>43250</v>
      </c>
    </row>
    <row r="764" spans="1:7" x14ac:dyDescent="0.3">
      <c r="A764" s="1" t="s">
        <v>755</v>
      </c>
      <c r="B764" s="1" t="s">
        <v>1070</v>
      </c>
      <c r="C764" s="1" t="s">
        <v>776</v>
      </c>
      <c r="D764" s="2" t="str">
        <f>HYPERLINK("https://inventaire.cncp.gouv.fr/fiches/3624/","3624")</f>
        <v>3624</v>
      </c>
      <c r="E764" s="2" t="str">
        <f>HYPERLINK("http://www.intercariforef.org/formations/certification-101239.html","101239")</f>
        <v>101239</v>
      </c>
      <c r="F764" s="3">
        <v>43255</v>
      </c>
      <c r="G764" s="3">
        <v>43279</v>
      </c>
    </row>
    <row r="765" spans="1:7" x14ac:dyDescent="0.3">
      <c r="A765" s="1" t="s">
        <v>755</v>
      </c>
      <c r="B765" s="1" t="s">
        <v>1071</v>
      </c>
      <c r="C765" s="1" t="s">
        <v>1072</v>
      </c>
      <c r="D765" s="2" t="str">
        <f>HYPERLINK("https://inventaire.cncp.gouv.fr/fiches/3787/","3787")</f>
        <v>3787</v>
      </c>
      <c r="E765" s="2" t="str">
        <f>HYPERLINK("http://www.intercariforef.org/formations/certification-103149.html","103149")</f>
        <v>103149</v>
      </c>
      <c r="F765" s="3">
        <v>43349</v>
      </c>
      <c r="G765" s="3">
        <v>43349</v>
      </c>
    </row>
    <row r="766" spans="1:7" x14ac:dyDescent="0.3">
      <c r="A766" s="1" t="s">
        <v>755</v>
      </c>
      <c r="B766" s="1" t="s">
        <v>1073</v>
      </c>
      <c r="C766" s="1" t="s">
        <v>397</v>
      </c>
      <c r="D766" s="2" t="str">
        <f>HYPERLINK("https://inventaire.cncp.gouv.fr/fiches/3251/","3251")</f>
        <v>3251</v>
      </c>
      <c r="E766" s="2" t="str">
        <f>HYPERLINK("http://www.intercariforef.org/formations/certification-99183.html","99183")</f>
        <v>99183</v>
      </c>
      <c r="F766" s="3">
        <v>43076</v>
      </c>
      <c r="G766" s="3">
        <v>43076</v>
      </c>
    </row>
    <row r="767" spans="1:7" x14ac:dyDescent="0.3">
      <c r="A767" s="1" t="s">
        <v>755</v>
      </c>
      <c r="B767" s="1" t="s">
        <v>1074</v>
      </c>
      <c r="C767" s="1" t="s">
        <v>1075</v>
      </c>
      <c r="D767" s="2" t="str">
        <f>HYPERLINK("https://inventaire.cncp.gouv.fr/fiches/3406/","3406")</f>
        <v>3406</v>
      </c>
      <c r="E767" s="2" t="str">
        <f>HYPERLINK("http://www.intercariforef.org/formations/certification-100157.html","100157")</f>
        <v>100157</v>
      </c>
      <c r="F767" s="3">
        <v>43154</v>
      </c>
      <c r="G767" s="3">
        <v>43154</v>
      </c>
    </row>
    <row r="768" spans="1:7" x14ac:dyDescent="0.3">
      <c r="A768" s="1" t="s">
        <v>755</v>
      </c>
      <c r="B768" s="1" t="s">
        <v>1076</v>
      </c>
      <c r="C768" s="1" t="s">
        <v>350</v>
      </c>
      <c r="D768" s="2" t="str">
        <f>HYPERLINK("https://inventaire.cncp.gouv.fr/fiches/3386/","3386")</f>
        <v>3386</v>
      </c>
      <c r="E768" s="2" t="str">
        <f>HYPERLINK("http://www.intercariforef.org/formations/certification-100173.html","100173")</f>
        <v>100173</v>
      </c>
      <c r="F768" s="3">
        <v>43154</v>
      </c>
      <c r="G768" s="3">
        <v>43392</v>
      </c>
    </row>
    <row r="769" spans="1:7" x14ac:dyDescent="0.3">
      <c r="A769" s="1" t="s">
        <v>755</v>
      </c>
      <c r="B769" s="1" t="s">
        <v>1077</v>
      </c>
      <c r="C769" s="1" t="s">
        <v>1078</v>
      </c>
      <c r="D769" s="2" t="str">
        <f>HYPERLINK("https://inventaire.cncp.gouv.fr/fiches/2742/","2742")</f>
        <v>2742</v>
      </c>
      <c r="E769" s="2" t="str">
        <f>HYPERLINK("http://www.intercariforef.org/formations/certification-96577.html","96577")</f>
        <v>96577</v>
      </c>
      <c r="F769" s="3">
        <v>42928</v>
      </c>
      <c r="G769" s="3">
        <v>42928</v>
      </c>
    </row>
    <row r="770" spans="1:7" x14ac:dyDescent="0.3">
      <c r="A770" s="1" t="s">
        <v>755</v>
      </c>
      <c r="B770" s="1" t="s">
        <v>1079</v>
      </c>
      <c r="C770" s="1" t="s">
        <v>602</v>
      </c>
      <c r="D770" s="2" t="str">
        <f>HYPERLINK("https://inventaire.cncp.gouv.fr/fiches/1063/","1063")</f>
        <v>1063</v>
      </c>
      <c r="E770" s="2" t="str">
        <f>HYPERLINK("http://www.intercariforef.org/formations/certification-86921.html","86921")</f>
        <v>86921</v>
      </c>
      <c r="F770" s="3">
        <v>42383</v>
      </c>
      <c r="G770" s="3">
        <v>42718</v>
      </c>
    </row>
    <row r="771" spans="1:7" x14ac:dyDescent="0.3">
      <c r="A771" s="1" t="s">
        <v>755</v>
      </c>
      <c r="B771" s="1" t="s">
        <v>1080</v>
      </c>
      <c r="C771" s="1" t="s">
        <v>602</v>
      </c>
      <c r="D771" s="2" t="str">
        <f>HYPERLINK("https://inventaire.cncp.gouv.fr/fiches/1064/","1064")</f>
        <v>1064</v>
      </c>
      <c r="E771" s="2" t="str">
        <f>HYPERLINK("http://www.intercariforef.org/formations/certification-86919.html","86919")</f>
        <v>86919</v>
      </c>
      <c r="F771" s="3">
        <v>42383</v>
      </c>
      <c r="G771" s="3">
        <v>42718</v>
      </c>
    </row>
    <row r="772" spans="1:7" x14ac:dyDescent="0.3">
      <c r="A772" s="1" t="s">
        <v>755</v>
      </c>
      <c r="B772" s="1" t="s">
        <v>1081</v>
      </c>
      <c r="C772" s="1" t="s">
        <v>1082</v>
      </c>
      <c r="D772" s="2" t="str">
        <f>HYPERLINK("https://inventaire.cncp.gouv.fr/fiches/2433/","2433")</f>
        <v>2433</v>
      </c>
      <c r="E772" s="2" t="str">
        <f>HYPERLINK("http://www.intercariforef.org/formations/certification-97075.html","97075")</f>
        <v>97075</v>
      </c>
      <c r="F772" s="3">
        <v>42978</v>
      </c>
      <c r="G772" s="3">
        <v>42978</v>
      </c>
    </row>
    <row r="773" spans="1:7" x14ac:dyDescent="0.3">
      <c r="A773" s="1" t="s">
        <v>755</v>
      </c>
      <c r="B773" s="1" t="s">
        <v>1083</v>
      </c>
      <c r="C773" s="1" t="s">
        <v>1084</v>
      </c>
      <c r="D773" s="2" t="str">
        <f>HYPERLINK("https://inventaire.cncp.gouv.fr/fiches/966/","966")</f>
        <v>966</v>
      </c>
      <c r="E773" s="2" t="str">
        <f>HYPERLINK("http://www.intercariforef.org/formations/certification-85077.html","85077")</f>
        <v>85077</v>
      </c>
      <c r="F773" s="3">
        <v>42185</v>
      </c>
      <c r="G773" s="3">
        <v>42979</v>
      </c>
    </row>
    <row r="774" spans="1:7" x14ac:dyDescent="0.3">
      <c r="A774" s="1" t="s">
        <v>755</v>
      </c>
      <c r="B774" s="1" t="s">
        <v>1085</v>
      </c>
      <c r="C774" s="1" t="s">
        <v>1084</v>
      </c>
      <c r="D774" s="2" t="str">
        <f>HYPERLINK("https://inventaire.cncp.gouv.fr/fiches/972/","972")</f>
        <v>972</v>
      </c>
      <c r="E774" s="2" t="str">
        <f>HYPERLINK("http://www.intercariforef.org/formations/certification-85078.html","85078")</f>
        <v>85078</v>
      </c>
      <c r="F774" s="3">
        <v>42185</v>
      </c>
      <c r="G774" s="3">
        <v>42979</v>
      </c>
    </row>
    <row r="775" spans="1:7" x14ac:dyDescent="0.3">
      <c r="A775" s="1" t="s">
        <v>755</v>
      </c>
      <c r="B775" s="1" t="s">
        <v>1086</v>
      </c>
      <c r="C775" s="1" t="s">
        <v>1087</v>
      </c>
      <c r="D775" s="2" t="str">
        <f>HYPERLINK("https://inventaire.cncp.gouv.fr/fiches/1455/","1455")</f>
        <v>1455</v>
      </c>
      <c r="E775" s="2" t="str">
        <f>HYPERLINK("http://www.intercariforef.org/formations/certification-87864.html","87864")</f>
        <v>87864</v>
      </c>
      <c r="F775" s="3">
        <v>42436</v>
      </c>
      <c r="G775" s="3">
        <v>42436</v>
      </c>
    </row>
    <row r="776" spans="1:7" x14ac:dyDescent="0.3">
      <c r="A776" s="1" t="s">
        <v>755</v>
      </c>
      <c r="B776" s="1" t="s">
        <v>1088</v>
      </c>
      <c r="C776" s="1" t="s">
        <v>1089</v>
      </c>
      <c r="D776" s="2" t="str">
        <f>HYPERLINK("https://inventaire.cncp.gouv.fr/fiches/1978/","1978")</f>
        <v>1978</v>
      </c>
      <c r="E776" s="2" t="str">
        <f>HYPERLINK("http://www.intercariforef.org/formations/certification-92099.html","92099")</f>
        <v>92099</v>
      </c>
      <c r="F776" s="3">
        <v>42667</v>
      </c>
      <c r="G776" s="3">
        <v>42667</v>
      </c>
    </row>
    <row r="777" spans="1:7" x14ac:dyDescent="0.3">
      <c r="A777" s="1" t="s">
        <v>755</v>
      </c>
      <c r="B777" s="1" t="s">
        <v>1090</v>
      </c>
      <c r="C777" s="1" t="s">
        <v>1089</v>
      </c>
      <c r="D777" s="2" t="str">
        <f>HYPERLINK("https://inventaire.cncp.gouv.fr/fiches/1979/","1979")</f>
        <v>1979</v>
      </c>
      <c r="E777" s="2" t="str">
        <f>HYPERLINK("http://www.intercariforef.org/formations/certification-90153.html","90153")</f>
        <v>90153</v>
      </c>
      <c r="F777" s="3">
        <v>42562</v>
      </c>
      <c r="G777" s="3">
        <v>42562</v>
      </c>
    </row>
    <row r="778" spans="1:7" x14ac:dyDescent="0.3">
      <c r="A778" s="1" t="s">
        <v>755</v>
      </c>
      <c r="B778" s="1" t="s">
        <v>1091</v>
      </c>
      <c r="C778" s="1" t="s">
        <v>850</v>
      </c>
      <c r="D778" s="2" t="str">
        <f>HYPERLINK("https://inventaire.cncp.gouv.fr/fiches/1397/","1397")</f>
        <v>1397</v>
      </c>
      <c r="E778" s="2" t="str">
        <f>HYPERLINK("http://www.intercariforef.org/formations/certification-86496.html","86496")</f>
        <v>86496</v>
      </c>
      <c r="F778" s="3">
        <v>42345</v>
      </c>
      <c r="G778" s="3">
        <v>42345</v>
      </c>
    </row>
    <row r="779" spans="1:7" x14ac:dyDescent="0.3">
      <c r="A779" s="1" t="s">
        <v>755</v>
      </c>
      <c r="B779" s="1" t="s">
        <v>1092</v>
      </c>
      <c r="C779" s="1" t="s">
        <v>397</v>
      </c>
      <c r="D779" s="2" t="str">
        <f>HYPERLINK("https://inventaire.cncp.gouv.fr/fiches/3392/","3392")</f>
        <v>3392</v>
      </c>
      <c r="E779" s="2" t="str">
        <f>HYPERLINK("http://www.intercariforef.org/formations/certification-101181.html","101181")</f>
        <v>101181</v>
      </c>
      <c r="F779" s="3">
        <v>43250</v>
      </c>
      <c r="G779" s="3">
        <v>43250</v>
      </c>
    </row>
    <row r="780" spans="1:7" x14ac:dyDescent="0.3">
      <c r="A780" s="1" t="s">
        <v>755</v>
      </c>
      <c r="B780" s="1" t="s">
        <v>1093</v>
      </c>
      <c r="C780" s="1" t="s">
        <v>377</v>
      </c>
      <c r="D780" s="2" t="str">
        <f>HYPERLINK("https://inventaire.cncp.gouv.fr/fiches/2674/","2674")</f>
        <v>2674</v>
      </c>
      <c r="E780" s="2" t="str">
        <f>HYPERLINK("http://www.intercariforef.org/formations/certification-94843.html","94843")</f>
        <v>94843</v>
      </c>
      <c r="F780" s="3">
        <v>42836</v>
      </c>
      <c r="G780" s="3">
        <v>42979</v>
      </c>
    </row>
    <row r="781" spans="1:7" x14ac:dyDescent="0.3">
      <c r="A781" s="1" t="s">
        <v>755</v>
      </c>
      <c r="B781" s="1" t="s">
        <v>1094</v>
      </c>
      <c r="C781" s="1" t="s">
        <v>1095</v>
      </c>
      <c r="D781" s="2" t="str">
        <f>HYPERLINK("https://inventaire.cncp.gouv.fr/fiches/1232/","1232")</f>
        <v>1232</v>
      </c>
      <c r="E781" s="2" t="str">
        <f>HYPERLINK("http://www.intercariforef.org/formations/certification-85383.html","85383")</f>
        <v>85383</v>
      </c>
      <c r="F781" s="3">
        <v>42254</v>
      </c>
      <c r="G781" s="3">
        <v>42718</v>
      </c>
    </row>
    <row r="782" spans="1:7" x14ac:dyDescent="0.3">
      <c r="A782" s="1" t="s">
        <v>755</v>
      </c>
      <c r="B782" s="1" t="s">
        <v>1096</v>
      </c>
      <c r="C782" s="1" t="s">
        <v>1097</v>
      </c>
      <c r="D782" s="2" t="str">
        <f>HYPERLINK("https://inventaire.cncp.gouv.fr/fiches/22/","22")</f>
        <v>22</v>
      </c>
      <c r="E782" s="2" t="str">
        <f>HYPERLINK("http://www.intercariforef.org/formations/certification-84385.html","84385")</f>
        <v>84385</v>
      </c>
      <c r="F782" s="3">
        <v>42109</v>
      </c>
      <c r="G782" s="3">
        <v>42979</v>
      </c>
    </row>
    <row r="783" spans="1:7" x14ac:dyDescent="0.3">
      <c r="A783" s="1" t="s">
        <v>755</v>
      </c>
      <c r="B783" s="1" t="s">
        <v>1098</v>
      </c>
      <c r="C783" s="1" t="s">
        <v>854</v>
      </c>
      <c r="D783" s="2" t="str">
        <f>HYPERLINK("https://inventaire.cncp.gouv.fr/fiches/3844/","3844")</f>
        <v>3844</v>
      </c>
      <c r="E783" s="2" t="str">
        <f>HYPERLINK("http://www.intercariforef.org/formations/certification-104071.html","104071")</f>
        <v>104071</v>
      </c>
      <c r="F783" s="3">
        <v>43396</v>
      </c>
      <c r="G783" s="3">
        <v>43396</v>
      </c>
    </row>
    <row r="784" spans="1:7" x14ac:dyDescent="0.3">
      <c r="A784" s="1" t="s">
        <v>755</v>
      </c>
      <c r="B784" s="1" t="s">
        <v>1099</v>
      </c>
      <c r="C784" s="1" t="s">
        <v>602</v>
      </c>
      <c r="D784" s="2" t="str">
        <f>HYPERLINK("https://inventaire.cncp.gouv.fr/fiches/1066/","1066")</f>
        <v>1066</v>
      </c>
      <c r="E784" s="2" t="str">
        <f>HYPERLINK("http://www.intercariforef.org/formations/certification-86208.html","86208")</f>
        <v>86208</v>
      </c>
      <c r="F784" s="3">
        <v>42318</v>
      </c>
      <c r="G784" s="3">
        <v>42718</v>
      </c>
    </row>
    <row r="785" spans="1:7" x14ac:dyDescent="0.3">
      <c r="A785" s="1" t="s">
        <v>755</v>
      </c>
      <c r="B785" s="1" t="s">
        <v>1100</v>
      </c>
      <c r="C785" s="1" t="s">
        <v>1101</v>
      </c>
      <c r="D785" s="2" t="str">
        <f>HYPERLINK("https://inventaire.cncp.gouv.fr/fiches/3259/","3259")</f>
        <v>3259</v>
      </c>
      <c r="E785" s="2" t="str">
        <f>HYPERLINK("http://www.intercariforef.org/formations/certification-99061.html","99061")</f>
        <v>99061</v>
      </c>
      <c r="F785" s="3">
        <v>43069</v>
      </c>
      <c r="G785" s="3">
        <v>43069</v>
      </c>
    </row>
    <row r="786" spans="1:7" x14ac:dyDescent="0.3">
      <c r="A786" s="1" t="s">
        <v>755</v>
      </c>
      <c r="B786" s="1" t="s">
        <v>1102</v>
      </c>
      <c r="C786" s="1" t="s">
        <v>1103</v>
      </c>
      <c r="D786" s="2" t="str">
        <f>HYPERLINK("https://inventaire.cncp.gouv.fr/fiches/3051/","3051")</f>
        <v>3051</v>
      </c>
      <c r="E786" s="2" t="str">
        <f>HYPERLINK("http://www.intercariforef.org/formations/certification-96465.html","96465")</f>
        <v>96465</v>
      </c>
      <c r="F786" s="3">
        <v>42928</v>
      </c>
      <c r="G786" s="3">
        <v>42928</v>
      </c>
    </row>
    <row r="787" spans="1:7" x14ac:dyDescent="0.3">
      <c r="A787" s="1" t="s">
        <v>755</v>
      </c>
      <c r="B787" s="1" t="s">
        <v>1104</v>
      </c>
      <c r="C787" s="1" t="s">
        <v>673</v>
      </c>
      <c r="D787" s="2" t="str">
        <f>HYPERLINK("https://inventaire.cncp.gouv.fr/fiches/3845/","3845")</f>
        <v>3845</v>
      </c>
      <c r="E787" s="2" t="str">
        <f>HYPERLINK("http://www.intercariforef.org/formations/certification-104141.html","104141")</f>
        <v>104141</v>
      </c>
      <c r="F787" s="3">
        <v>43398</v>
      </c>
      <c r="G787" s="3">
        <v>43398</v>
      </c>
    </row>
    <row r="788" spans="1:7" x14ac:dyDescent="0.3">
      <c r="A788" s="1" t="s">
        <v>755</v>
      </c>
      <c r="B788" s="1" t="s">
        <v>1105</v>
      </c>
      <c r="C788" s="1" t="s">
        <v>1106</v>
      </c>
      <c r="D788" s="2" t="str">
        <f>HYPERLINK("https://inventaire.cncp.gouv.fr/fiches/3356/","3356")</f>
        <v>3356</v>
      </c>
      <c r="E788" s="2" t="str">
        <f>HYPERLINK("http://www.intercariforef.org/formations/certification-101183.html","101183")</f>
        <v>101183</v>
      </c>
      <c r="F788" s="3">
        <v>43250</v>
      </c>
      <c r="G788" s="3">
        <v>43250</v>
      </c>
    </row>
    <row r="789" spans="1:7" x14ac:dyDescent="0.3">
      <c r="A789" s="1" t="s">
        <v>1107</v>
      </c>
      <c r="B789" s="1" t="s">
        <v>1108</v>
      </c>
      <c r="C789" s="1" t="s">
        <v>1109</v>
      </c>
      <c r="D789" s="2" t="str">
        <f>HYPERLINK("https://inventaire.cncp.gouv.fr/fiches/2686/","2686")</f>
        <v>2686</v>
      </c>
      <c r="E789" s="2" t="str">
        <f>HYPERLINK("http://www.intercariforef.org/formations/certification-94975.html","94975")</f>
        <v>94975</v>
      </c>
      <c r="F789" s="3">
        <v>42838</v>
      </c>
      <c r="G789" s="3">
        <v>42838</v>
      </c>
    </row>
    <row r="790" spans="1:7" x14ac:dyDescent="0.3">
      <c r="A790" s="1" t="s">
        <v>1110</v>
      </c>
      <c r="B790" s="1" t="s">
        <v>1111</v>
      </c>
      <c r="C790" s="1" t="s">
        <v>70</v>
      </c>
      <c r="D790" s="2" t="str">
        <f>HYPERLINK("https://inventaire.cncp.gouv.fr/fiches/894/","894")</f>
        <v>894</v>
      </c>
      <c r="E790" s="2" t="str">
        <f>HYPERLINK("http://www.intercariforef.org/formations/certification-84992.html","84992")</f>
        <v>84992</v>
      </c>
      <c r="F790" s="3">
        <v>42184</v>
      </c>
      <c r="G790" s="3">
        <v>43111</v>
      </c>
    </row>
    <row r="791" spans="1:7" x14ac:dyDescent="0.3">
      <c r="A791" s="1" t="s">
        <v>1110</v>
      </c>
      <c r="B791" s="1" t="s">
        <v>1112</v>
      </c>
      <c r="C791" s="1" t="s">
        <v>1113</v>
      </c>
      <c r="D791" s="2" t="str">
        <f>HYPERLINK("https://inventaire.cncp.gouv.fr/fiches/1683/","1683")</f>
        <v>1683</v>
      </c>
      <c r="E791" s="2" t="str">
        <f>HYPERLINK("http://www.intercariforef.org/formations/certification-88821.html","88821")</f>
        <v>88821</v>
      </c>
      <c r="F791" s="3">
        <v>42500</v>
      </c>
      <c r="G791" s="3">
        <v>42718</v>
      </c>
    </row>
    <row r="792" spans="1:7" ht="26.2" x14ac:dyDescent="0.3">
      <c r="A792" s="1" t="s">
        <v>1110</v>
      </c>
      <c r="B792" s="1" t="s">
        <v>1114</v>
      </c>
      <c r="C792" s="1" t="s">
        <v>79</v>
      </c>
      <c r="D792" s="2" t="str">
        <f>HYPERLINK("https://inventaire.cncp.gouv.fr/fiches/898/","898")</f>
        <v>898</v>
      </c>
      <c r="E792" s="2" t="str">
        <f>HYPERLINK("http://www.intercariforef.org/formations/certification-85007.html","85007")</f>
        <v>85007</v>
      </c>
      <c r="F792" s="3">
        <v>42184</v>
      </c>
      <c r="G792" s="3">
        <v>43111</v>
      </c>
    </row>
    <row r="793" spans="1:7" x14ac:dyDescent="0.3">
      <c r="A793" s="1" t="s">
        <v>1115</v>
      </c>
      <c r="B793" s="1" t="s">
        <v>1116</v>
      </c>
      <c r="C793" s="1" t="s">
        <v>1117</v>
      </c>
      <c r="D793" s="2" t="str">
        <f>HYPERLINK("https://inventaire.cncp.gouv.fr/fiches/2337/","2337")</f>
        <v>2337</v>
      </c>
      <c r="E793" s="2" t="str">
        <f>HYPERLINK("http://www.intercariforef.org/formations/certification-92105.html","92105")</f>
        <v>92105</v>
      </c>
      <c r="F793" s="3">
        <v>42667</v>
      </c>
      <c r="G793" s="3">
        <v>42667</v>
      </c>
    </row>
    <row r="794" spans="1:7" x14ac:dyDescent="0.3">
      <c r="A794" s="1" t="s">
        <v>1115</v>
      </c>
      <c r="B794" s="1" t="s">
        <v>1118</v>
      </c>
      <c r="C794" s="1" t="s">
        <v>793</v>
      </c>
      <c r="D794" s="2" t="str">
        <f>HYPERLINK("https://inventaire.cncp.gouv.fr/fiches/3053/","3053")</f>
        <v>3053</v>
      </c>
      <c r="E794" s="2" t="str">
        <f>HYPERLINK("http://www.intercariforef.org/formations/certification-101213.html","101213")</f>
        <v>101213</v>
      </c>
      <c r="F794" s="3">
        <v>43251</v>
      </c>
      <c r="G794" s="3">
        <v>43251</v>
      </c>
    </row>
    <row r="795" spans="1:7" x14ac:dyDescent="0.3">
      <c r="A795" s="1" t="s">
        <v>1115</v>
      </c>
      <c r="B795" s="1" t="s">
        <v>1119</v>
      </c>
      <c r="C795" s="1" t="s">
        <v>350</v>
      </c>
      <c r="D795" s="2" t="str">
        <f>HYPERLINK("https://inventaire.cncp.gouv.fr/fiches/2841/","2841")</f>
        <v>2841</v>
      </c>
      <c r="E795" s="2" t="str">
        <f>HYPERLINK("http://www.intercariforef.org/formations/certification-98595.html","98595")</f>
        <v>98595</v>
      </c>
      <c r="F795" s="3">
        <v>43038</v>
      </c>
      <c r="G795" s="3">
        <v>43392</v>
      </c>
    </row>
    <row r="796" spans="1:7" x14ac:dyDescent="0.3">
      <c r="A796" s="1" t="s">
        <v>1120</v>
      </c>
      <c r="B796" s="1" t="s">
        <v>1121</v>
      </c>
      <c r="C796" s="1" t="s">
        <v>1122</v>
      </c>
      <c r="D796" s="2" t="str">
        <f>HYPERLINK("https://inventaire.cncp.gouv.fr/fiches/1548/","1548")</f>
        <v>1548</v>
      </c>
      <c r="E796" s="2" t="str">
        <f>HYPERLINK("http://www.intercariforef.org/formations/certification-86426.html","86426")</f>
        <v>86426</v>
      </c>
      <c r="F796" s="3">
        <v>42341</v>
      </c>
      <c r="G796" s="3">
        <v>42979</v>
      </c>
    </row>
    <row r="797" spans="1:7" x14ac:dyDescent="0.3">
      <c r="A797" s="1" t="s">
        <v>1120</v>
      </c>
      <c r="B797" s="1" t="s">
        <v>1123</v>
      </c>
      <c r="C797" s="1" t="s">
        <v>1122</v>
      </c>
      <c r="D797" s="2" t="str">
        <f>HYPERLINK("https://inventaire.cncp.gouv.fr/fiches/1549/","1549")</f>
        <v>1549</v>
      </c>
      <c r="E797" s="2" t="str">
        <f>HYPERLINK("http://www.intercariforef.org/formations/certification-86413.html","86413")</f>
        <v>86413</v>
      </c>
      <c r="F797" s="3">
        <v>42340</v>
      </c>
      <c r="G797" s="3">
        <v>42979</v>
      </c>
    </row>
    <row r="798" spans="1:7" x14ac:dyDescent="0.3">
      <c r="A798" s="1" t="s">
        <v>1120</v>
      </c>
      <c r="B798" s="1" t="s">
        <v>1124</v>
      </c>
      <c r="C798" s="1" t="s">
        <v>1122</v>
      </c>
      <c r="D798" s="2" t="str">
        <f>HYPERLINK("https://inventaire.cncp.gouv.fr/fiches/1545/","1545")</f>
        <v>1545</v>
      </c>
      <c r="E798" s="2" t="str">
        <f>HYPERLINK("http://www.intercariforef.org/formations/certification-86425.html","86425")</f>
        <v>86425</v>
      </c>
      <c r="F798" s="3">
        <v>42341</v>
      </c>
      <c r="G798" s="3">
        <v>42979</v>
      </c>
    </row>
    <row r="799" spans="1:7" x14ac:dyDescent="0.3">
      <c r="A799" s="1" t="s">
        <v>1120</v>
      </c>
      <c r="B799" s="1" t="s">
        <v>1125</v>
      </c>
      <c r="C799" s="1" t="s">
        <v>1126</v>
      </c>
      <c r="D799" s="2" t="str">
        <f>HYPERLINK("https://inventaire.cncp.gouv.fr/fiches/3328/","3328")</f>
        <v>3328</v>
      </c>
      <c r="E799" s="2" t="str">
        <f>HYPERLINK("http://www.intercariforef.org/formations/certification-100399.html","100399")</f>
        <v>100399</v>
      </c>
      <c r="F799" s="3">
        <v>43173</v>
      </c>
      <c r="G799" s="3">
        <v>43173</v>
      </c>
    </row>
    <row r="800" spans="1:7" x14ac:dyDescent="0.3">
      <c r="A800" s="1" t="s">
        <v>1120</v>
      </c>
      <c r="B800" s="1" t="s">
        <v>1127</v>
      </c>
      <c r="C800" s="1" t="s">
        <v>678</v>
      </c>
      <c r="D800" s="2" t="str">
        <f>HYPERLINK("https://inventaire.cncp.gouv.fr/fiches/2829/","2829")</f>
        <v>2829</v>
      </c>
      <c r="E800" s="2" t="str">
        <f>HYPERLINK("http://www.intercariforef.org/formations/certification-95425.html","95425")</f>
        <v>95425</v>
      </c>
      <c r="F800" s="3">
        <v>42884</v>
      </c>
      <c r="G800" s="3">
        <v>42884</v>
      </c>
    </row>
    <row r="801" spans="1:7" x14ac:dyDescent="0.3">
      <c r="A801" s="1" t="s">
        <v>1120</v>
      </c>
      <c r="B801" s="1" t="s">
        <v>1128</v>
      </c>
      <c r="C801" s="1" t="s">
        <v>1129</v>
      </c>
      <c r="D801" s="2" t="str">
        <f>HYPERLINK("https://inventaire.cncp.gouv.fr/fiches/3728/","3728")</f>
        <v>3728</v>
      </c>
      <c r="E801" s="2" t="str">
        <f>HYPERLINK("http://www.intercariforef.org/formations/certification-102465.html","102465")</f>
        <v>102465</v>
      </c>
      <c r="F801" s="3">
        <v>43298</v>
      </c>
      <c r="G801" s="3">
        <v>43298</v>
      </c>
    </row>
    <row r="802" spans="1:7" x14ac:dyDescent="0.3">
      <c r="A802" s="1" t="s">
        <v>1120</v>
      </c>
      <c r="B802" s="1" t="s">
        <v>1130</v>
      </c>
      <c r="C802" s="1" t="s">
        <v>1129</v>
      </c>
      <c r="D802" s="2" t="str">
        <f>HYPERLINK("https://inventaire.cncp.gouv.fr/fiches/1555/","1555")</f>
        <v>1555</v>
      </c>
      <c r="E802" s="2" t="str">
        <f>HYPERLINK("http://www.intercariforef.org/formations/certification-87681.html","87681")</f>
        <v>87681</v>
      </c>
      <c r="F802" s="3">
        <v>42418</v>
      </c>
      <c r="G802" s="3">
        <v>42418</v>
      </c>
    </row>
    <row r="803" spans="1:7" x14ac:dyDescent="0.3">
      <c r="A803" s="1" t="s">
        <v>1120</v>
      </c>
      <c r="B803" s="1" t="s">
        <v>1131</v>
      </c>
      <c r="C803" s="1" t="s">
        <v>707</v>
      </c>
      <c r="D803" s="2" t="str">
        <f>HYPERLINK("https://inventaire.cncp.gouv.fr/fiches/2228/","2228")</f>
        <v>2228</v>
      </c>
      <c r="E803" s="2" t="str">
        <f>HYPERLINK("http://www.intercariforef.org/formations/certification-92089.html","92089")</f>
        <v>92089</v>
      </c>
      <c r="F803" s="3">
        <v>42667</v>
      </c>
      <c r="G803" s="3">
        <v>42667</v>
      </c>
    </row>
    <row r="804" spans="1:7" x14ac:dyDescent="0.3">
      <c r="A804" s="1" t="s">
        <v>1120</v>
      </c>
      <c r="B804" s="1" t="s">
        <v>1132</v>
      </c>
      <c r="C804" s="1" t="s">
        <v>678</v>
      </c>
      <c r="D804" s="2" t="str">
        <f>HYPERLINK("https://inventaire.cncp.gouv.fr/fiches/2743/","2743")</f>
        <v>2743</v>
      </c>
      <c r="E804" s="2" t="str">
        <f>HYPERLINK("http://www.intercariforef.org/formations/certification-94813.html","94813")</f>
        <v>94813</v>
      </c>
      <c r="F804" s="3">
        <v>42836</v>
      </c>
      <c r="G804" s="3">
        <v>42836</v>
      </c>
    </row>
    <row r="805" spans="1:7" x14ac:dyDescent="0.3">
      <c r="A805" s="1" t="s">
        <v>1120</v>
      </c>
      <c r="B805" s="1" t="s">
        <v>1133</v>
      </c>
      <c r="C805" s="1" t="s">
        <v>1129</v>
      </c>
      <c r="D805" s="2" t="str">
        <f>HYPERLINK("https://inventaire.cncp.gouv.fr/fiches/2772/","2772")</f>
        <v>2772</v>
      </c>
      <c r="E805" s="2" t="str">
        <f>HYPERLINK("http://www.intercariforef.org/formations/certification-98545.html","98545")</f>
        <v>98545</v>
      </c>
      <c r="F805" s="3">
        <v>43034</v>
      </c>
      <c r="G805" s="3">
        <v>43034</v>
      </c>
    </row>
    <row r="806" spans="1:7" ht="26.2" x14ac:dyDescent="0.3">
      <c r="A806" s="1" t="s">
        <v>1120</v>
      </c>
      <c r="B806" s="1" t="s">
        <v>1134</v>
      </c>
      <c r="C806" s="1" t="s">
        <v>1135</v>
      </c>
      <c r="D806" s="2" t="str">
        <f>HYPERLINK("https://inventaire.cncp.gouv.fr/fiches/1444/","1444")</f>
        <v>1444</v>
      </c>
      <c r="E806" s="2" t="str">
        <f>HYPERLINK("http://www.intercariforef.org/formations/certification-86346.html","86346")</f>
        <v>86346</v>
      </c>
      <c r="F806" s="3">
        <v>42340</v>
      </c>
      <c r="G806" s="3">
        <v>42340</v>
      </c>
    </row>
    <row r="807" spans="1:7" ht="26.2" x14ac:dyDescent="0.3">
      <c r="A807" s="1" t="s">
        <v>1136</v>
      </c>
      <c r="B807" s="1" t="s">
        <v>1137</v>
      </c>
      <c r="C807" s="1" t="s">
        <v>1138</v>
      </c>
      <c r="D807" s="2" t="str">
        <f>HYPERLINK("https://inventaire.cncp.gouv.fr/fiches/3410/","3410")</f>
        <v>3410</v>
      </c>
      <c r="E807" s="2" t="str">
        <f>HYPERLINK("http://www.intercariforef.org/formations/certification-100703.html","100703")</f>
        <v>100703</v>
      </c>
      <c r="F807" s="3">
        <v>43199</v>
      </c>
      <c r="G807" s="3">
        <v>43199</v>
      </c>
    </row>
    <row r="808" spans="1:7" x14ac:dyDescent="0.3">
      <c r="A808" s="1" t="s">
        <v>1136</v>
      </c>
      <c r="B808" s="1" t="s">
        <v>1139</v>
      </c>
      <c r="C808" s="1" t="s">
        <v>208</v>
      </c>
      <c r="D808" s="2" t="str">
        <f>HYPERLINK("https://inventaire.cncp.gouv.fr/fiches/3389/","3389")</f>
        <v>3389</v>
      </c>
      <c r="E808" s="2" t="str">
        <f>HYPERLINK("http://www.intercariforef.org/formations/certification-100023.html","100023")</f>
        <v>100023</v>
      </c>
      <c r="F808" s="3">
        <v>43151</v>
      </c>
      <c r="G808" s="3">
        <v>43151</v>
      </c>
    </row>
    <row r="809" spans="1:7" x14ac:dyDescent="0.3">
      <c r="A809" s="1" t="s">
        <v>1136</v>
      </c>
      <c r="B809" s="1" t="s">
        <v>1140</v>
      </c>
      <c r="C809" s="1" t="s">
        <v>707</v>
      </c>
      <c r="D809" s="2" t="str">
        <f>HYPERLINK("https://inventaire.cncp.gouv.fr/fiches/2236/","2236")</f>
        <v>2236</v>
      </c>
      <c r="E809" s="2" t="str">
        <f>HYPERLINK("http://www.intercariforef.org/formations/certification-93895.html","93895")</f>
        <v>93895</v>
      </c>
      <c r="F809" s="3">
        <v>42744</v>
      </c>
      <c r="G809" s="3">
        <v>42744</v>
      </c>
    </row>
    <row r="810" spans="1:7" x14ac:dyDescent="0.3">
      <c r="A810" s="1" t="s">
        <v>1136</v>
      </c>
      <c r="B810" s="1" t="s">
        <v>1141</v>
      </c>
      <c r="C810" s="1" t="s">
        <v>707</v>
      </c>
      <c r="D810" s="2" t="str">
        <f>HYPERLINK("https://inventaire.cncp.gouv.fr/fiches/2235/","2235")</f>
        <v>2235</v>
      </c>
      <c r="E810" s="2" t="str">
        <f>HYPERLINK("http://www.intercariforef.org/formations/certification-94003.html","94003")</f>
        <v>94003</v>
      </c>
      <c r="F810" s="3">
        <v>42745</v>
      </c>
      <c r="G810" s="3">
        <v>42745</v>
      </c>
    </row>
    <row r="811" spans="1:7" x14ac:dyDescent="0.3">
      <c r="A811" s="1" t="s">
        <v>1136</v>
      </c>
      <c r="B811" s="1" t="s">
        <v>1142</v>
      </c>
      <c r="C811" s="1" t="s">
        <v>1143</v>
      </c>
      <c r="D811" s="2" t="str">
        <f>HYPERLINK("https://inventaire.cncp.gouv.fr/fiches/1676/","1676")</f>
        <v>1676</v>
      </c>
      <c r="E811" s="2" t="str">
        <f>HYPERLINK("http://www.intercariforef.org/formations/certification-90015.html","90015")</f>
        <v>90015</v>
      </c>
      <c r="F811" s="3">
        <v>42558</v>
      </c>
      <c r="G811" s="3">
        <v>42558</v>
      </c>
    </row>
    <row r="812" spans="1:7" x14ac:dyDescent="0.3">
      <c r="A812" s="1" t="s">
        <v>1136</v>
      </c>
      <c r="B812" s="1" t="s">
        <v>1144</v>
      </c>
      <c r="C812" s="1" t="s">
        <v>1122</v>
      </c>
      <c r="D812" s="2" t="str">
        <f>HYPERLINK("https://inventaire.cncp.gouv.fr/fiches/1543/","1543")</f>
        <v>1543</v>
      </c>
      <c r="E812" s="2" t="str">
        <f>HYPERLINK("http://www.intercariforef.org/formations/certification-86420.html","86420")</f>
        <v>86420</v>
      </c>
      <c r="F812" s="3">
        <v>42341</v>
      </c>
      <c r="G812" s="3">
        <v>42979</v>
      </c>
    </row>
    <row r="813" spans="1:7" x14ac:dyDescent="0.3">
      <c r="A813" s="1" t="s">
        <v>1136</v>
      </c>
      <c r="B813" s="1" t="s">
        <v>1145</v>
      </c>
      <c r="C813" s="1" t="s">
        <v>1122</v>
      </c>
      <c r="D813" s="2" t="str">
        <f>HYPERLINK("https://inventaire.cncp.gouv.fr/fiches/1542/","1542")</f>
        <v>1542</v>
      </c>
      <c r="E813" s="2" t="str">
        <f>HYPERLINK("http://www.intercariforef.org/formations/certification-86422.html","86422")</f>
        <v>86422</v>
      </c>
      <c r="F813" s="3">
        <v>42341</v>
      </c>
      <c r="G813" s="3">
        <v>42979</v>
      </c>
    </row>
    <row r="814" spans="1:7" x14ac:dyDescent="0.3">
      <c r="A814" s="1" t="s">
        <v>1136</v>
      </c>
      <c r="B814" s="1" t="s">
        <v>1146</v>
      </c>
      <c r="C814" s="1" t="s">
        <v>1122</v>
      </c>
      <c r="D814" s="2" t="str">
        <f>HYPERLINK("https://inventaire.cncp.gouv.fr/fiches/1546/","1546")</f>
        <v>1546</v>
      </c>
      <c r="E814" s="2" t="str">
        <f>HYPERLINK("http://www.intercariforef.org/formations/certification-86423.html","86423")</f>
        <v>86423</v>
      </c>
      <c r="F814" s="3">
        <v>42341</v>
      </c>
      <c r="G814" s="3">
        <v>42979</v>
      </c>
    </row>
    <row r="815" spans="1:7" x14ac:dyDescent="0.3">
      <c r="A815" s="1" t="s">
        <v>1136</v>
      </c>
      <c r="B815" s="1" t="s">
        <v>1147</v>
      </c>
      <c r="C815" s="1" t="s">
        <v>920</v>
      </c>
      <c r="D815" s="2" t="str">
        <f>HYPERLINK("https://inventaire.cncp.gouv.fr/fiches/3915/","3915")</f>
        <v>3915</v>
      </c>
      <c r="E815" s="2" t="str">
        <f>HYPERLINK("http://www.intercariforef.org/formations/certification-104117.html","104117")</f>
        <v>104117</v>
      </c>
      <c r="F815" s="3">
        <v>43398</v>
      </c>
      <c r="G815" s="3">
        <v>43398</v>
      </c>
    </row>
    <row r="816" spans="1:7" x14ac:dyDescent="0.3">
      <c r="A816" s="1" t="s">
        <v>1136</v>
      </c>
      <c r="B816" s="1" t="s">
        <v>1148</v>
      </c>
      <c r="C816" s="1" t="s">
        <v>1149</v>
      </c>
      <c r="D816" s="2" t="str">
        <f>HYPERLINK("https://inventaire.cncp.gouv.fr/fiches/3112/","3112")</f>
        <v>3112</v>
      </c>
      <c r="E816" s="2" t="str">
        <f>HYPERLINK("http://www.intercariforef.org/formations/certification-99227.html","99227")</f>
        <v>99227</v>
      </c>
      <c r="F816" s="3">
        <v>43077</v>
      </c>
      <c r="G816" s="3">
        <v>43077</v>
      </c>
    </row>
    <row r="817" spans="1:7" x14ac:dyDescent="0.3">
      <c r="A817" s="1" t="s">
        <v>1136</v>
      </c>
      <c r="B817" s="1" t="s">
        <v>1150</v>
      </c>
      <c r="C817" s="1" t="s">
        <v>920</v>
      </c>
      <c r="D817" s="2" t="str">
        <f>HYPERLINK("https://inventaire.cncp.gouv.fr/fiches/3519/","3519")</f>
        <v>3519</v>
      </c>
      <c r="E817" s="2" t="str">
        <f>HYPERLINK("http://www.intercariforef.org/formations/certification-100641.html","100641")</f>
        <v>100641</v>
      </c>
      <c r="F817" s="3">
        <v>43194</v>
      </c>
      <c r="G817" s="3">
        <v>43195</v>
      </c>
    </row>
    <row r="818" spans="1:7" x14ac:dyDescent="0.3">
      <c r="A818" s="1" t="s">
        <v>1136</v>
      </c>
      <c r="B818" s="1" t="s">
        <v>1151</v>
      </c>
      <c r="C818" s="1" t="s">
        <v>966</v>
      </c>
      <c r="D818" s="2" t="str">
        <f>HYPERLINK("https://inventaire.cncp.gouv.fr/fiches/1416/","1416")</f>
        <v>1416</v>
      </c>
      <c r="E818" s="2" t="str">
        <f>HYPERLINK("http://www.intercariforef.org/formations/certification-91937.html","91937")</f>
        <v>91937</v>
      </c>
      <c r="F818" s="3">
        <v>42662</v>
      </c>
      <c r="G818" s="3">
        <v>42718</v>
      </c>
    </row>
    <row r="819" spans="1:7" x14ac:dyDescent="0.3">
      <c r="A819" s="1" t="s">
        <v>1136</v>
      </c>
      <c r="B819" s="1" t="s">
        <v>1152</v>
      </c>
      <c r="C819" s="1" t="s">
        <v>1153</v>
      </c>
      <c r="D819" s="2" t="str">
        <f>HYPERLINK("https://inventaire.cncp.gouv.fr/fiches/2858/","2858")</f>
        <v>2858</v>
      </c>
      <c r="E819" s="2" t="str">
        <f>HYPERLINK("http://www.intercariforef.org/formations/certification-100203.html","100203")</f>
        <v>100203</v>
      </c>
      <c r="F819" s="3">
        <v>43154</v>
      </c>
      <c r="G819" s="3">
        <v>43154</v>
      </c>
    </row>
    <row r="820" spans="1:7" x14ac:dyDescent="0.3">
      <c r="A820" s="1" t="s">
        <v>1136</v>
      </c>
      <c r="B820" s="1" t="s">
        <v>1154</v>
      </c>
      <c r="C820" s="1" t="s">
        <v>1155</v>
      </c>
      <c r="D820" s="2" t="str">
        <f>HYPERLINK("https://inventaire.cncp.gouv.fr/fiches/3481/","3481")</f>
        <v>3481</v>
      </c>
      <c r="E820" s="2" t="str">
        <f>HYPERLINK("http://www.intercariforef.org/formations/certification-100655.html","100655")</f>
        <v>100655</v>
      </c>
      <c r="F820" s="3">
        <v>43194</v>
      </c>
      <c r="G820" s="3">
        <v>43194</v>
      </c>
    </row>
    <row r="821" spans="1:7" x14ac:dyDescent="0.3">
      <c r="A821" s="1" t="s">
        <v>1136</v>
      </c>
      <c r="B821" s="1" t="s">
        <v>1156</v>
      </c>
      <c r="C821" s="1" t="s">
        <v>1155</v>
      </c>
      <c r="D821" s="2" t="str">
        <f>HYPERLINK("https://inventaire.cncp.gouv.fr/fiches/3418/","3418")</f>
        <v>3418</v>
      </c>
      <c r="E821" s="2" t="str">
        <f>HYPERLINK("http://www.intercariforef.org/formations/certification-104015.html","104015")</f>
        <v>104015</v>
      </c>
      <c r="F821" s="3">
        <v>43392</v>
      </c>
      <c r="G821" s="3">
        <v>43392</v>
      </c>
    </row>
    <row r="822" spans="1:7" x14ac:dyDescent="0.3">
      <c r="A822" s="1" t="s">
        <v>1136</v>
      </c>
      <c r="B822" s="1" t="s">
        <v>1157</v>
      </c>
      <c r="C822" s="1" t="s">
        <v>1084</v>
      </c>
      <c r="D822" s="2" t="str">
        <f>HYPERLINK("https://inventaire.cncp.gouv.fr/fiches/3115/","3115")</f>
        <v>3115</v>
      </c>
      <c r="E822" s="2" t="str">
        <f>HYPERLINK("http://www.intercariforef.org/formations/certification-98497.html","98497")</f>
        <v>98497</v>
      </c>
      <c r="F822" s="3">
        <v>43032</v>
      </c>
      <c r="G822" s="3">
        <v>43032</v>
      </c>
    </row>
    <row r="823" spans="1:7" x14ac:dyDescent="0.3">
      <c r="A823" s="1" t="s">
        <v>1136</v>
      </c>
      <c r="B823" s="1" t="s">
        <v>1158</v>
      </c>
      <c r="C823" s="1" t="s">
        <v>1159</v>
      </c>
      <c r="D823" s="2" t="str">
        <f>HYPERLINK("https://inventaire.cncp.gouv.fr/fiches/2275/","2275")</f>
        <v>2275</v>
      </c>
      <c r="E823" s="2" t="str">
        <f>HYPERLINK("http://www.intercariforef.org/formations/certification-99189.html","99189")</f>
        <v>99189</v>
      </c>
      <c r="F823" s="3">
        <v>43076</v>
      </c>
      <c r="G823" s="3">
        <v>43076</v>
      </c>
    </row>
    <row r="824" spans="1:7" x14ac:dyDescent="0.3">
      <c r="A824" s="1" t="s">
        <v>1136</v>
      </c>
      <c r="B824" s="1" t="s">
        <v>1160</v>
      </c>
      <c r="C824" s="1" t="s">
        <v>1161</v>
      </c>
      <c r="D824" s="2" t="str">
        <f>HYPERLINK("https://inventaire.cncp.gouv.fr/fiches/1753/","1753")</f>
        <v>1753</v>
      </c>
      <c r="E824" s="2" t="str">
        <f>HYPERLINK("http://www.intercariforef.org/formations/certification-87577.html","87577")</f>
        <v>87577</v>
      </c>
      <c r="F824" s="3">
        <v>42412</v>
      </c>
      <c r="G824" s="3">
        <v>42718</v>
      </c>
    </row>
    <row r="825" spans="1:7" x14ac:dyDescent="0.3">
      <c r="A825" s="1" t="s">
        <v>1136</v>
      </c>
      <c r="B825" s="1" t="s">
        <v>1162</v>
      </c>
      <c r="C825" s="1" t="s">
        <v>689</v>
      </c>
      <c r="D825" s="2" t="str">
        <f>HYPERLINK("https://inventaire.cncp.gouv.fr/fiches/3070/","3070")</f>
        <v>3070</v>
      </c>
      <c r="E825" s="2" t="str">
        <f>HYPERLINK("http://www.intercariforef.org/formations/certification-100189.html","100189")</f>
        <v>100189</v>
      </c>
      <c r="F825" s="3">
        <v>43154</v>
      </c>
      <c r="G825" s="3">
        <v>43154</v>
      </c>
    </row>
    <row r="826" spans="1:7" x14ac:dyDescent="0.3">
      <c r="A826" s="1" t="s">
        <v>1136</v>
      </c>
      <c r="B826" s="1" t="s">
        <v>1163</v>
      </c>
      <c r="C826" s="1" t="s">
        <v>1164</v>
      </c>
      <c r="D826" s="2" t="str">
        <f>HYPERLINK("https://inventaire.cncp.gouv.fr/fiches/3393/","3393")</f>
        <v>3393</v>
      </c>
      <c r="E826" s="2" t="str">
        <f>HYPERLINK("http://www.intercariforef.org/formations/certification-100725.html","100725")</f>
        <v>100725</v>
      </c>
      <c r="F826" s="3">
        <v>43200</v>
      </c>
      <c r="G826" s="3">
        <v>43200</v>
      </c>
    </row>
    <row r="827" spans="1:7" x14ac:dyDescent="0.3">
      <c r="A827" s="1" t="s">
        <v>1136</v>
      </c>
      <c r="B827" s="1" t="s">
        <v>1165</v>
      </c>
      <c r="C827" s="1" t="s">
        <v>241</v>
      </c>
      <c r="D827" s="2" t="str">
        <f>HYPERLINK("https://inventaire.cncp.gouv.fr/fiches/2585/","2585")</f>
        <v>2585</v>
      </c>
      <c r="E827" s="2" t="str">
        <f>HYPERLINK("http://www.intercariforef.org/formations/certification-95655.html","95655")</f>
        <v>95655</v>
      </c>
      <c r="F827" s="3">
        <v>42893</v>
      </c>
      <c r="G827" s="3">
        <v>42893</v>
      </c>
    </row>
    <row r="828" spans="1:7" x14ac:dyDescent="0.3">
      <c r="A828" s="1" t="s">
        <v>1136</v>
      </c>
      <c r="B828" s="1" t="s">
        <v>1166</v>
      </c>
      <c r="C828" s="1" t="s">
        <v>241</v>
      </c>
      <c r="D828" s="2" t="str">
        <f>HYPERLINK("https://inventaire.cncp.gouv.fr/fiches/2588/","2588")</f>
        <v>2588</v>
      </c>
      <c r="E828" s="2" t="str">
        <f>HYPERLINK("http://www.intercariforef.org/formations/certification-95653.html","95653")</f>
        <v>95653</v>
      </c>
      <c r="F828" s="3">
        <v>42893</v>
      </c>
      <c r="G828" s="3">
        <v>42893</v>
      </c>
    </row>
    <row r="829" spans="1:7" ht="26.2" x14ac:dyDescent="0.3">
      <c r="A829" s="1" t="s">
        <v>1136</v>
      </c>
      <c r="B829" s="1" t="s">
        <v>1167</v>
      </c>
      <c r="C829" s="1" t="s">
        <v>342</v>
      </c>
      <c r="D829" s="2" t="str">
        <f>HYPERLINK("https://inventaire.cncp.gouv.fr/fiches/2173/","2173")</f>
        <v>2173</v>
      </c>
      <c r="E829" s="2" t="str">
        <f>HYPERLINK("http://www.intercariforef.org/formations/certification-104067.html","104067")</f>
        <v>104067</v>
      </c>
      <c r="F829" s="3">
        <v>43395</v>
      </c>
      <c r="G829" s="3">
        <v>43395</v>
      </c>
    </row>
    <row r="830" spans="1:7" x14ac:dyDescent="0.3">
      <c r="A830" s="1" t="s">
        <v>1136</v>
      </c>
      <c r="B830" s="1" t="s">
        <v>1168</v>
      </c>
      <c r="C830" s="1" t="s">
        <v>350</v>
      </c>
      <c r="D830" s="2" t="str">
        <f>HYPERLINK("https://inventaire.cncp.gouv.fr/fiches/2831/","2831")</f>
        <v>2831</v>
      </c>
      <c r="E830" s="2" t="str">
        <f>HYPERLINK("http://www.intercariforef.org/formations/certification-95599.html","95599")</f>
        <v>95599</v>
      </c>
      <c r="F830" s="3">
        <v>42893</v>
      </c>
      <c r="G830" s="3">
        <v>43392</v>
      </c>
    </row>
    <row r="831" spans="1:7" x14ac:dyDescent="0.3">
      <c r="A831" s="1" t="s">
        <v>1136</v>
      </c>
      <c r="B831" s="1" t="s">
        <v>1169</v>
      </c>
      <c r="C831" s="1" t="s">
        <v>241</v>
      </c>
      <c r="D831" s="2" t="str">
        <f>HYPERLINK("https://inventaire.cncp.gouv.fr/fiches/2540/","2540")</f>
        <v>2540</v>
      </c>
      <c r="E831" s="2" t="str">
        <f>HYPERLINK("http://www.intercariforef.org/formations/certification-95297.html","95297")</f>
        <v>95297</v>
      </c>
      <c r="F831" s="3">
        <v>42858</v>
      </c>
      <c r="G831" s="3">
        <v>42858</v>
      </c>
    </row>
    <row r="832" spans="1:7" x14ac:dyDescent="0.3">
      <c r="A832" s="1" t="s">
        <v>1136</v>
      </c>
      <c r="B832" s="1" t="s">
        <v>1170</v>
      </c>
      <c r="C832" s="1" t="s">
        <v>75</v>
      </c>
      <c r="D832" s="2" t="str">
        <f>HYPERLINK("https://inventaire.cncp.gouv.fr/fiches/944/","944")</f>
        <v>944</v>
      </c>
      <c r="E832" s="2" t="str">
        <f>HYPERLINK("http://www.intercariforef.org/formations/certification-85063.html","85063")</f>
        <v>85063</v>
      </c>
      <c r="F832" s="3">
        <v>42185</v>
      </c>
      <c r="G832" s="3">
        <v>42718</v>
      </c>
    </row>
    <row r="833" spans="1:7" x14ac:dyDescent="0.3">
      <c r="A833" s="1" t="s">
        <v>1136</v>
      </c>
      <c r="B833" s="1" t="s">
        <v>1171</v>
      </c>
      <c r="C833" s="1" t="s">
        <v>75</v>
      </c>
      <c r="D833" s="2" t="str">
        <f>HYPERLINK("https://inventaire.cncp.gouv.fr/fiches/943/","943")</f>
        <v>943</v>
      </c>
      <c r="E833" s="2" t="str">
        <f>HYPERLINK("http://www.intercariforef.org/formations/certification-85056.html","85056")</f>
        <v>85056</v>
      </c>
      <c r="F833" s="3">
        <v>42185</v>
      </c>
      <c r="G833" s="3">
        <v>42718</v>
      </c>
    </row>
    <row r="834" spans="1:7" x14ac:dyDescent="0.3">
      <c r="A834" s="1" t="s">
        <v>1136</v>
      </c>
      <c r="B834" s="1" t="s">
        <v>1172</v>
      </c>
      <c r="C834" s="1" t="s">
        <v>313</v>
      </c>
      <c r="D834" s="2" t="str">
        <f>HYPERLINK("https://inventaire.cncp.gouv.fr/fiches/1230/","1230")</f>
        <v>1230</v>
      </c>
      <c r="E834" s="2" t="str">
        <f>HYPERLINK("http://www.intercariforef.org/formations/certification-86417.html","86417")</f>
        <v>86417</v>
      </c>
      <c r="F834" s="3">
        <v>42341</v>
      </c>
      <c r="G834" s="3">
        <v>42718</v>
      </c>
    </row>
    <row r="835" spans="1:7" x14ac:dyDescent="0.3">
      <c r="A835" s="1" t="s">
        <v>1136</v>
      </c>
      <c r="B835" s="1" t="s">
        <v>1173</v>
      </c>
      <c r="C835" s="1" t="s">
        <v>313</v>
      </c>
      <c r="D835" s="2" t="str">
        <f>HYPERLINK("https://inventaire.cncp.gouv.fr/fiches/1224/","1224")</f>
        <v>1224</v>
      </c>
      <c r="E835" s="2" t="str">
        <f>HYPERLINK("http://www.intercariforef.org/formations/certification-86419.html","86419")</f>
        <v>86419</v>
      </c>
      <c r="F835" s="3">
        <v>42341</v>
      </c>
      <c r="G835" s="3">
        <v>42718</v>
      </c>
    </row>
    <row r="836" spans="1:7" x14ac:dyDescent="0.3">
      <c r="A836" s="1" t="s">
        <v>1136</v>
      </c>
      <c r="B836" s="1" t="s">
        <v>1174</v>
      </c>
      <c r="C836" s="1" t="s">
        <v>313</v>
      </c>
      <c r="D836" s="2" t="str">
        <f>HYPERLINK("https://inventaire.cncp.gouv.fr/fiches/1227/","1227")</f>
        <v>1227</v>
      </c>
      <c r="E836" s="2" t="str">
        <f>HYPERLINK("http://www.intercariforef.org/formations/certification-87627.html","87627")</f>
        <v>87627</v>
      </c>
      <c r="F836" s="3">
        <v>42415</v>
      </c>
      <c r="G836" s="3">
        <v>42718</v>
      </c>
    </row>
    <row r="837" spans="1:7" x14ac:dyDescent="0.3">
      <c r="A837" s="1" t="s">
        <v>1136</v>
      </c>
      <c r="B837" s="1" t="s">
        <v>1175</v>
      </c>
      <c r="C837" s="1" t="s">
        <v>313</v>
      </c>
      <c r="D837" s="2" t="str">
        <f>HYPERLINK("https://inventaire.cncp.gouv.fr/fiches/1229/","1229")</f>
        <v>1229</v>
      </c>
      <c r="E837" s="2" t="str">
        <f>HYPERLINK("http://www.intercariforef.org/formations/certification-86416.html","86416")</f>
        <v>86416</v>
      </c>
      <c r="F837" s="3">
        <v>42341</v>
      </c>
      <c r="G837" s="3">
        <v>42718</v>
      </c>
    </row>
    <row r="838" spans="1:7" x14ac:dyDescent="0.3">
      <c r="A838" s="1" t="s">
        <v>1136</v>
      </c>
      <c r="B838" s="1" t="s">
        <v>1176</v>
      </c>
      <c r="C838" s="1" t="s">
        <v>1177</v>
      </c>
      <c r="D838" s="2" t="str">
        <f>HYPERLINK("https://inventaire.cncp.gouv.fr/fiches/2587/","2587")</f>
        <v>2587</v>
      </c>
      <c r="E838" s="2" t="str">
        <f>HYPERLINK("http://www.intercariforef.org/formations/certification-95235.html","95235")</f>
        <v>95235</v>
      </c>
      <c r="F838" s="3">
        <v>42851</v>
      </c>
      <c r="G838" s="3">
        <v>42851</v>
      </c>
    </row>
    <row r="839" spans="1:7" x14ac:dyDescent="0.3">
      <c r="A839" s="1" t="s">
        <v>1136</v>
      </c>
      <c r="B839" s="1" t="s">
        <v>1178</v>
      </c>
      <c r="C839" s="1" t="s">
        <v>1177</v>
      </c>
      <c r="D839" s="2" t="str">
        <f>HYPERLINK("https://inventaire.cncp.gouv.fr/fiches/2541/","2541")</f>
        <v>2541</v>
      </c>
      <c r="E839" s="2" t="str">
        <f>HYPERLINK("http://www.intercariforef.org/formations/certification-97085.html","97085")</f>
        <v>97085</v>
      </c>
      <c r="F839" s="3">
        <v>42978</v>
      </c>
      <c r="G839" s="3">
        <v>42978</v>
      </c>
    </row>
    <row r="840" spans="1:7" x14ac:dyDescent="0.3">
      <c r="A840" s="1" t="s">
        <v>1136</v>
      </c>
      <c r="B840" s="1" t="s">
        <v>1179</v>
      </c>
      <c r="C840" s="1" t="s">
        <v>1177</v>
      </c>
      <c r="D840" s="2" t="str">
        <f>HYPERLINK("https://inventaire.cncp.gouv.fr/fiches/2590/","2590")</f>
        <v>2590</v>
      </c>
      <c r="E840" s="2" t="str">
        <f>HYPERLINK("http://www.intercariforef.org/formations/certification-95233.html","95233")</f>
        <v>95233</v>
      </c>
      <c r="F840" s="3">
        <v>42851</v>
      </c>
      <c r="G840" s="3">
        <v>42851</v>
      </c>
    </row>
    <row r="841" spans="1:7" x14ac:dyDescent="0.3">
      <c r="A841" s="1" t="s">
        <v>1136</v>
      </c>
      <c r="B841" s="1" t="s">
        <v>1180</v>
      </c>
      <c r="C841" s="1" t="s">
        <v>1177</v>
      </c>
      <c r="D841" s="2" t="str">
        <f>HYPERLINK("https://inventaire.cncp.gouv.fr/fiches/2589/","2589")</f>
        <v>2589</v>
      </c>
      <c r="E841" s="2" t="str">
        <f>HYPERLINK("http://www.intercariforef.org/formations/certification-96621.html","96621")</f>
        <v>96621</v>
      </c>
      <c r="F841" s="3">
        <v>42929</v>
      </c>
      <c r="G841" s="3">
        <v>42929</v>
      </c>
    </row>
    <row r="842" spans="1:7" x14ac:dyDescent="0.3">
      <c r="A842" s="1" t="s">
        <v>1136</v>
      </c>
      <c r="B842" s="1" t="s">
        <v>1181</v>
      </c>
      <c r="C842" s="1" t="s">
        <v>707</v>
      </c>
      <c r="D842" s="2" t="str">
        <f>HYPERLINK("https://inventaire.cncp.gouv.fr/fiches/2234/","2234")</f>
        <v>2234</v>
      </c>
      <c r="E842" s="2" t="str">
        <f>HYPERLINK("http://www.intercariforef.org/formations/certification-93835.html","93835")</f>
        <v>93835</v>
      </c>
      <c r="F842" s="3">
        <v>42740</v>
      </c>
      <c r="G842" s="3">
        <v>42740</v>
      </c>
    </row>
    <row r="843" spans="1:7" x14ac:dyDescent="0.3">
      <c r="A843" s="1" t="s">
        <v>1136</v>
      </c>
      <c r="B843" s="1" t="s">
        <v>1182</v>
      </c>
      <c r="C843" s="1" t="s">
        <v>689</v>
      </c>
      <c r="D843" s="2" t="str">
        <f>HYPERLINK("https://inventaire.cncp.gouv.fr/fiches/3067/","3067")</f>
        <v>3067</v>
      </c>
      <c r="E843" s="2" t="str">
        <f>HYPERLINK("http://www.intercariforef.org/formations/certification-98489.html","98489")</f>
        <v>98489</v>
      </c>
      <c r="F843" s="3">
        <v>43032</v>
      </c>
      <c r="G843" s="3">
        <v>43032</v>
      </c>
    </row>
    <row r="844" spans="1:7" x14ac:dyDescent="0.3">
      <c r="A844" s="1" t="s">
        <v>1136</v>
      </c>
      <c r="B844" s="1" t="s">
        <v>1183</v>
      </c>
      <c r="C844" s="1" t="s">
        <v>466</v>
      </c>
      <c r="D844" s="4" t="s">
        <v>536</v>
      </c>
      <c r="E844" s="2" t="str">
        <f>HYPERLINK("http://www.intercariforef.org/formations/certification-81515.html","81515")</f>
        <v>81515</v>
      </c>
      <c r="F844" s="3">
        <v>41514</v>
      </c>
      <c r="G844" s="3">
        <v>42718</v>
      </c>
    </row>
    <row r="845" spans="1:7" x14ac:dyDescent="0.3">
      <c r="A845" s="1" t="s">
        <v>1136</v>
      </c>
      <c r="B845" s="1" t="s">
        <v>1184</v>
      </c>
      <c r="C845" s="1" t="s">
        <v>466</v>
      </c>
      <c r="D845" s="4" t="s">
        <v>536</v>
      </c>
      <c r="E845" s="2" t="str">
        <f>HYPERLINK("http://www.intercariforef.org/formations/certification-81512.html","81512")</f>
        <v>81512</v>
      </c>
      <c r="F845" s="3">
        <v>41514</v>
      </c>
      <c r="G845" s="3">
        <v>42718</v>
      </c>
    </row>
    <row r="846" spans="1:7" x14ac:dyDescent="0.3">
      <c r="A846" s="1" t="s">
        <v>1136</v>
      </c>
      <c r="B846" s="1" t="s">
        <v>1185</v>
      </c>
      <c r="C846" s="1" t="s">
        <v>466</v>
      </c>
      <c r="D846" s="4" t="s">
        <v>536</v>
      </c>
      <c r="E846" s="2" t="str">
        <f>HYPERLINK("http://www.intercariforef.org/formations/certification-81519.html","81519")</f>
        <v>81519</v>
      </c>
      <c r="F846" s="3">
        <v>41514</v>
      </c>
      <c r="G846" s="3">
        <v>42718</v>
      </c>
    </row>
    <row r="847" spans="1:7" x14ac:dyDescent="0.3">
      <c r="A847" s="1" t="s">
        <v>1136</v>
      </c>
      <c r="B847" s="1" t="s">
        <v>1186</v>
      </c>
      <c r="C847" s="1" t="s">
        <v>466</v>
      </c>
      <c r="D847" s="2" t="str">
        <f>HYPERLINK("https://inventaire.cncp.gouv.fr/fiches/345/","345")</f>
        <v>345</v>
      </c>
      <c r="E847" s="2" t="str">
        <f>HYPERLINK("http://www.intercariforef.org/formations/certification-84414.html","84414")</f>
        <v>84414</v>
      </c>
      <c r="F847" s="3">
        <v>42109</v>
      </c>
      <c r="G847" s="3">
        <v>42718</v>
      </c>
    </row>
    <row r="848" spans="1:7" x14ac:dyDescent="0.3">
      <c r="A848" s="1" t="s">
        <v>1136</v>
      </c>
      <c r="B848" s="1" t="s">
        <v>1187</v>
      </c>
      <c r="C848" s="1" t="s">
        <v>1188</v>
      </c>
      <c r="D848" s="2" t="str">
        <f>HYPERLINK("https://inventaire.cncp.gouv.fr/fiches/2505/","2505")</f>
        <v>2505</v>
      </c>
      <c r="E848" s="2" t="str">
        <f>HYPERLINK("http://www.intercariforef.org/formations/certification-94919.html","94919")</f>
        <v>94919</v>
      </c>
      <c r="F848" s="3">
        <v>42837</v>
      </c>
      <c r="G848" s="3">
        <v>42837</v>
      </c>
    </row>
    <row r="849" spans="1:7" x14ac:dyDescent="0.3">
      <c r="A849" s="1" t="s">
        <v>1136</v>
      </c>
      <c r="B849" s="1" t="s">
        <v>1189</v>
      </c>
      <c r="C849" s="1" t="s">
        <v>1188</v>
      </c>
      <c r="D849" s="2" t="str">
        <f>HYPERLINK("https://inventaire.cncp.gouv.fr/fiches/3140/","3140")</f>
        <v>3140</v>
      </c>
      <c r="E849" s="2" t="str">
        <f>HYPERLINK("http://www.intercariforef.org/formations/certification-100129.html","100129")</f>
        <v>100129</v>
      </c>
      <c r="F849" s="3">
        <v>43153</v>
      </c>
      <c r="G849" s="3">
        <v>43153</v>
      </c>
    </row>
    <row r="850" spans="1:7" x14ac:dyDescent="0.3">
      <c r="A850" s="1" t="s">
        <v>1136</v>
      </c>
      <c r="B850" s="1" t="s">
        <v>1190</v>
      </c>
      <c r="C850" s="1" t="s">
        <v>1188</v>
      </c>
      <c r="D850" s="2" t="str">
        <f>HYPERLINK("https://inventaire.cncp.gouv.fr/fiches/3141/","3141")</f>
        <v>3141</v>
      </c>
      <c r="E850" s="2" t="str">
        <f>HYPERLINK("http://www.intercariforef.org/formations/certification-100127.html","100127")</f>
        <v>100127</v>
      </c>
      <c r="F850" s="3">
        <v>43153</v>
      </c>
      <c r="G850" s="3">
        <v>43153</v>
      </c>
    </row>
    <row r="851" spans="1:7" ht="26.2" x14ac:dyDescent="0.3">
      <c r="A851" s="1" t="s">
        <v>1136</v>
      </c>
      <c r="B851" s="1" t="s">
        <v>1191</v>
      </c>
      <c r="C851" s="1" t="s">
        <v>1188</v>
      </c>
      <c r="D851" s="2" t="str">
        <f>HYPERLINK("https://inventaire.cncp.gouv.fr/fiches/472/","472")</f>
        <v>472</v>
      </c>
      <c r="E851" s="2" t="str">
        <f>HYPERLINK("http://www.intercariforef.org/formations/certification-85792.html","85792")</f>
        <v>85792</v>
      </c>
      <c r="F851" s="3">
        <v>42279</v>
      </c>
      <c r="G851" s="3">
        <v>42718</v>
      </c>
    </row>
    <row r="852" spans="1:7" ht="26.2" x14ac:dyDescent="0.3">
      <c r="A852" s="1" t="s">
        <v>1136</v>
      </c>
      <c r="B852" s="1" t="s">
        <v>1192</v>
      </c>
      <c r="C852" s="1" t="s">
        <v>1188</v>
      </c>
      <c r="D852" s="2" t="str">
        <f>HYPERLINK("https://inventaire.cncp.gouv.fr/fiches/84/","84")</f>
        <v>84</v>
      </c>
      <c r="E852" s="2" t="str">
        <f>HYPERLINK("http://www.intercariforef.org/formations/certification-84539.html","84539")</f>
        <v>84539</v>
      </c>
      <c r="F852" s="3">
        <v>42114</v>
      </c>
      <c r="G852" s="3">
        <v>42718</v>
      </c>
    </row>
    <row r="853" spans="1:7" x14ac:dyDescent="0.3">
      <c r="A853" s="1" t="s">
        <v>1136</v>
      </c>
      <c r="B853" s="1" t="s">
        <v>1193</v>
      </c>
      <c r="C853" s="1" t="s">
        <v>1188</v>
      </c>
      <c r="D853" s="2" t="str">
        <f>HYPERLINK("https://inventaire.cncp.gouv.fr/fiches/689/","689")</f>
        <v>689</v>
      </c>
      <c r="E853" s="2" t="str">
        <f>HYPERLINK("http://www.intercariforef.org/formations/certification-86214.html","86214")</f>
        <v>86214</v>
      </c>
      <c r="F853" s="3">
        <v>42320</v>
      </c>
      <c r="G853" s="3">
        <v>42718</v>
      </c>
    </row>
    <row r="854" spans="1:7" x14ac:dyDescent="0.3">
      <c r="A854" s="1" t="s">
        <v>1136</v>
      </c>
      <c r="B854" s="1" t="s">
        <v>1194</v>
      </c>
      <c r="C854" s="1" t="s">
        <v>1188</v>
      </c>
      <c r="D854" s="2" t="str">
        <f>HYPERLINK("https://inventaire.cncp.gouv.fr/fiches/79/","79")</f>
        <v>79</v>
      </c>
      <c r="E854" s="2" t="str">
        <f>HYPERLINK("http://www.intercariforef.org/formations/certification-84527.html","84527")</f>
        <v>84527</v>
      </c>
      <c r="F854" s="3">
        <v>42114</v>
      </c>
      <c r="G854" s="3">
        <v>42718</v>
      </c>
    </row>
    <row r="855" spans="1:7" x14ac:dyDescent="0.3">
      <c r="A855" s="1" t="s">
        <v>1136</v>
      </c>
      <c r="B855" s="1" t="s">
        <v>1195</v>
      </c>
      <c r="C855" s="1" t="s">
        <v>1188</v>
      </c>
      <c r="D855" s="2" t="str">
        <f>HYPERLINK("https://inventaire.cncp.gouv.fr/fiches/692/","692")</f>
        <v>692</v>
      </c>
      <c r="E855" s="2" t="str">
        <f>HYPERLINK("http://www.intercariforef.org/formations/certification-85793.html","85793")</f>
        <v>85793</v>
      </c>
      <c r="F855" s="3">
        <v>42279</v>
      </c>
      <c r="G855" s="3">
        <v>42718</v>
      </c>
    </row>
    <row r="856" spans="1:7" x14ac:dyDescent="0.3">
      <c r="A856" s="1" t="s">
        <v>1136</v>
      </c>
      <c r="B856" s="1" t="s">
        <v>1196</v>
      </c>
      <c r="C856" s="1" t="s">
        <v>1188</v>
      </c>
      <c r="D856" s="2" t="str">
        <f>HYPERLINK("https://inventaire.cncp.gouv.fr/fiches/379/","379")</f>
        <v>379</v>
      </c>
      <c r="E856" s="2" t="str">
        <f>HYPERLINK("http://www.intercariforef.org/formations/certification-85791.html","85791")</f>
        <v>85791</v>
      </c>
      <c r="F856" s="3">
        <v>42279</v>
      </c>
      <c r="G856" s="3">
        <v>42718</v>
      </c>
    </row>
    <row r="857" spans="1:7" x14ac:dyDescent="0.3">
      <c r="A857" s="1" t="s">
        <v>1136</v>
      </c>
      <c r="B857" s="1" t="s">
        <v>1197</v>
      </c>
      <c r="C857" s="1" t="s">
        <v>1188</v>
      </c>
      <c r="D857" s="2" t="str">
        <f>HYPERLINK("https://inventaire.cncp.gouv.fr/fiches/711/","711")</f>
        <v>711</v>
      </c>
      <c r="E857" s="2" t="str">
        <f>HYPERLINK("http://www.intercariforef.org/formations/certification-85804.html","85804")</f>
        <v>85804</v>
      </c>
      <c r="F857" s="3">
        <v>42282</v>
      </c>
      <c r="G857" s="3">
        <v>42718</v>
      </c>
    </row>
    <row r="858" spans="1:7" ht="26.2" x14ac:dyDescent="0.3">
      <c r="A858" s="1" t="s">
        <v>1136</v>
      </c>
      <c r="B858" s="1" t="s">
        <v>1198</v>
      </c>
      <c r="C858" s="1" t="s">
        <v>1188</v>
      </c>
      <c r="D858" s="2" t="str">
        <f>HYPERLINK("https://inventaire.cncp.gouv.fr/fiches/502/","502")</f>
        <v>502</v>
      </c>
      <c r="E858" s="2" t="str">
        <f>HYPERLINK("http://www.intercariforef.org/formations/certification-85798.html","85798")</f>
        <v>85798</v>
      </c>
      <c r="F858" s="3">
        <v>42279</v>
      </c>
      <c r="G858" s="3">
        <v>42718</v>
      </c>
    </row>
    <row r="859" spans="1:7" x14ac:dyDescent="0.3">
      <c r="A859" s="1" t="s">
        <v>1136</v>
      </c>
      <c r="B859" s="1" t="s">
        <v>1199</v>
      </c>
      <c r="C859" s="1" t="s">
        <v>1188</v>
      </c>
      <c r="D859" s="2" t="str">
        <f>HYPERLINK("https://inventaire.cncp.gouv.fr/fiches/504/","504")</f>
        <v>504</v>
      </c>
      <c r="E859" s="2" t="str">
        <f>HYPERLINK("http://www.intercariforef.org/formations/certification-85790.html","85790")</f>
        <v>85790</v>
      </c>
      <c r="F859" s="3">
        <v>42279</v>
      </c>
      <c r="G859" s="3">
        <v>42718</v>
      </c>
    </row>
    <row r="860" spans="1:7" ht="26.2" x14ac:dyDescent="0.3">
      <c r="A860" s="1" t="s">
        <v>1136</v>
      </c>
      <c r="B860" s="1" t="s">
        <v>1200</v>
      </c>
      <c r="C860" s="1" t="s">
        <v>1188</v>
      </c>
      <c r="D860" s="2" t="str">
        <f>HYPERLINK("https://inventaire.cncp.gouv.fr/fiches/351/","351")</f>
        <v>351</v>
      </c>
      <c r="E860" s="2" t="str">
        <f>HYPERLINK("http://www.intercariforef.org/formations/certification-85815.html","85815")</f>
        <v>85815</v>
      </c>
      <c r="F860" s="3">
        <v>42282</v>
      </c>
      <c r="G860" s="3">
        <v>42718</v>
      </c>
    </row>
    <row r="861" spans="1:7" x14ac:dyDescent="0.3">
      <c r="A861" s="1" t="s">
        <v>1136</v>
      </c>
      <c r="B861" s="1" t="s">
        <v>1201</v>
      </c>
      <c r="C861" s="1" t="s">
        <v>1188</v>
      </c>
      <c r="D861" s="2" t="str">
        <f>HYPERLINK("https://inventaire.cncp.gouv.fr/fiches/498/","498")</f>
        <v>498</v>
      </c>
      <c r="E861" s="2" t="str">
        <f>HYPERLINK("http://www.intercariforef.org/formations/certification-85759.html","85759")</f>
        <v>85759</v>
      </c>
      <c r="F861" s="3">
        <v>42278</v>
      </c>
      <c r="G861" s="3">
        <v>42718</v>
      </c>
    </row>
    <row r="862" spans="1:7" x14ac:dyDescent="0.3">
      <c r="A862" s="1" t="s">
        <v>1136</v>
      </c>
      <c r="B862" s="1" t="s">
        <v>1202</v>
      </c>
      <c r="C862" s="1" t="s">
        <v>1188</v>
      </c>
      <c r="D862" s="2" t="str">
        <f>HYPERLINK("https://inventaire.cncp.gouv.fr/fiches/3135/","3135")</f>
        <v>3135</v>
      </c>
      <c r="E862" s="2" t="str">
        <f>HYPERLINK("http://www.intercariforef.org/formations/certification-100133.html","100133")</f>
        <v>100133</v>
      </c>
      <c r="F862" s="3">
        <v>43153</v>
      </c>
      <c r="G862" s="3">
        <v>43153</v>
      </c>
    </row>
    <row r="863" spans="1:7" x14ac:dyDescent="0.3">
      <c r="A863" s="1" t="s">
        <v>1136</v>
      </c>
      <c r="B863" s="1" t="s">
        <v>1203</v>
      </c>
      <c r="C863" s="1" t="s">
        <v>1188</v>
      </c>
      <c r="D863" s="2" t="str">
        <f>HYPERLINK("https://inventaire.cncp.gouv.fr/fiches/352/","352")</f>
        <v>352</v>
      </c>
      <c r="E863" s="2" t="str">
        <f>HYPERLINK("http://www.intercariforef.org/formations/certification-85805.html","85805")</f>
        <v>85805</v>
      </c>
      <c r="F863" s="3">
        <v>42282</v>
      </c>
      <c r="G863" s="3">
        <v>42718</v>
      </c>
    </row>
    <row r="864" spans="1:7" x14ac:dyDescent="0.3">
      <c r="A864" s="1" t="s">
        <v>1136</v>
      </c>
      <c r="B864" s="1" t="s">
        <v>1204</v>
      </c>
      <c r="C864" s="1" t="s">
        <v>1188</v>
      </c>
      <c r="D864" s="2" t="str">
        <f>HYPERLINK("https://inventaire.cncp.gouv.fr/fiches/3304/","3304")</f>
        <v>3304</v>
      </c>
      <c r="E864" s="2" t="str">
        <f>HYPERLINK("http://www.intercariforef.org/formations/certification-100669.html","100669")</f>
        <v>100669</v>
      </c>
      <c r="F864" s="3">
        <v>43194</v>
      </c>
      <c r="G864" s="3">
        <v>43194</v>
      </c>
    </row>
    <row r="865" spans="1:7" x14ac:dyDescent="0.3">
      <c r="A865" s="1" t="s">
        <v>1136</v>
      </c>
      <c r="B865" s="1" t="s">
        <v>1205</v>
      </c>
      <c r="C865" s="1" t="s">
        <v>1188</v>
      </c>
      <c r="D865" s="2" t="str">
        <f>HYPERLINK("https://inventaire.cncp.gouv.fr/fiches/714/","714")</f>
        <v>714</v>
      </c>
      <c r="E865" s="2" t="str">
        <f>HYPERLINK("http://www.intercariforef.org/formations/certification-85756.html","85756")</f>
        <v>85756</v>
      </c>
      <c r="F865" s="3">
        <v>42278</v>
      </c>
      <c r="G865" s="3">
        <v>42718</v>
      </c>
    </row>
    <row r="866" spans="1:7" x14ac:dyDescent="0.3">
      <c r="A866" s="1" t="s">
        <v>1136</v>
      </c>
      <c r="B866" s="1" t="s">
        <v>1206</v>
      </c>
      <c r="C866" s="1" t="s">
        <v>1188</v>
      </c>
      <c r="D866" s="2" t="str">
        <f>HYPERLINK("https://inventaire.cncp.gouv.fr/fiches/49/","49")</f>
        <v>49</v>
      </c>
      <c r="E866" s="2" t="str">
        <f>HYPERLINK("http://www.intercariforef.org/formations/certification-84524.html","84524")</f>
        <v>84524</v>
      </c>
      <c r="F866" s="3">
        <v>42114</v>
      </c>
      <c r="G866" s="3">
        <v>42718</v>
      </c>
    </row>
    <row r="867" spans="1:7" x14ac:dyDescent="0.3">
      <c r="A867" s="1" t="s">
        <v>1136</v>
      </c>
      <c r="B867" s="1" t="s">
        <v>1207</v>
      </c>
      <c r="C867" s="1" t="s">
        <v>1188</v>
      </c>
      <c r="D867" s="2" t="str">
        <f>HYPERLINK("https://inventaire.cncp.gouv.fr/fiches/86/","86")</f>
        <v>86</v>
      </c>
      <c r="E867" s="2" t="str">
        <f>HYPERLINK("http://www.intercariforef.org/formations/certification-85776.html","85776")</f>
        <v>85776</v>
      </c>
      <c r="F867" s="3">
        <v>42278</v>
      </c>
      <c r="G867" s="3">
        <v>42718</v>
      </c>
    </row>
    <row r="868" spans="1:7" x14ac:dyDescent="0.3">
      <c r="A868" s="1" t="s">
        <v>1136</v>
      </c>
      <c r="B868" s="1" t="s">
        <v>1208</v>
      </c>
      <c r="C868" s="1" t="s">
        <v>1188</v>
      </c>
      <c r="D868" s="2" t="str">
        <f>HYPERLINK("https://inventaire.cncp.gouv.fr/fiches/2840/","2840")</f>
        <v>2840</v>
      </c>
      <c r="E868" s="2" t="str">
        <f>HYPERLINK("http://www.intercariforef.org/formations/certification-96567.html","96567")</f>
        <v>96567</v>
      </c>
      <c r="F868" s="3">
        <v>42928</v>
      </c>
      <c r="G868" s="3">
        <v>42979</v>
      </c>
    </row>
    <row r="869" spans="1:7" x14ac:dyDescent="0.3">
      <c r="A869" s="1" t="s">
        <v>1136</v>
      </c>
      <c r="B869" s="1" t="s">
        <v>1209</v>
      </c>
      <c r="C869" s="1" t="s">
        <v>1188</v>
      </c>
      <c r="D869" s="2" t="str">
        <f>HYPERLINK("https://inventaire.cncp.gouv.fr/fiches/2508/","2508")</f>
        <v>2508</v>
      </c>
      <c r="E869" s="2" t="str">
        <f>HYPERLINK("http://www.intercariforef.org/formations/certification-94913.html","94913")</f>
        <v>94913</v>
      </c>
      <c r="F869" s="3">
        <v>42837</v>
      </c>
      <c r="G869" s="3">
        <v>42837</v>
      </c>
    </row>
    <row r="870" spans="1:7" x14ac:dyDescent="0.3">
      <c r="A870" s="1" t="s">
        <v>1136</v>
      </c>
      <c r="B870" s="1" t="s">
        <v>1210</v>
      </c>
      <c r="C870" s="1" t="s">
        <v>1188</v>
      </c>
      <c r="D870" s="2" t="str">
        <f>HYPERLINK("https://inventaire.cncp.gouv.fr/fiches/2506/","2506")</f>
        <v>2506</v>
      </c>
      <c r="E870" s="2" t="str">
        <f>HYPERLINK("http://www.intercariforef.org/formations/certification-94917.html","94917")</f>
        <v>94917</v>
      </c>
      <c r="F870" s="3">
        <v>42837</v>
      </c>
      <c r="G870" s="3">
        <v>42837</v>
      </c>
    </row>
    <row r="871" spans="1:7" x14ac:dyDescent="0.3">
      <c r="A871" s="1" t="s">
        <v>1136</v>
      </c>
      <c r="B871" s="1" t="s">
        <v>1211</v>
      </c>
      <c r="C871" s="1" t="s">
        <v>1188</v>
      </c>
      <c r="D871" s="2" t="str">
        <f>HYPERLINK("https://inventaire.cncp.gouv.fr/fiches/78/","78")</f>
        <v>78</v>
      </c>
      <c r="E871" s="2" t="str">
        <f>HYPERLINK("http://www.intercariforef.org/formations/certification-85789.html","85789")</f>
        <v>85789</v>
      </c>
      <c r="F871" s="3">
        <v>42279</v>
      </c>
      <c r="G871" s="3">
        <v>42718</v>
      </c>
    </row>
    <row r="872" spans="1:7" ht="26.2" x14ac:dyDescent="0.3">
      <c r="A872" s="1" t="s">
        <v>1136</v>
      </c>
      <c r="B872" s="1" t="s">
        <v>1212</v>
      </c>
      <c r="C872" s="1" t="s">
        <v>1188</v>
      </c>
      <c r="D872" s="2" t="str">
        <f>HYPERLINK("https://inventaire.cncp.gouv.fr/fiches/418/","418")</f>
        <v>418</v>
      </c>
      <c r="E872" s="2" t="str">
        <f>HYPERLINK("http://www.intercariforef.org/formations/certification-85788.html","85788")</f>
        <v>85788</v>
      </c>
      <c r="F872" s="3">
        <v>42279</v>
      </c>
      <c r="G872" s="3">
        <v>42718</v>
      </c>
    </row>
    <row r="873" spans="1:7" ht="26.2" x14ac:dyDescent="0.3">
      <c r="A873" s="1" t="s">
        <v>1136</v>
      </c>
      <c r="B873" s="1" t="s">
        <v>1213</v>
      </c>
      <c r="C873" s="1" t="s">
        <v>1188</v>
      </c>
      <c r="D873" s="2" t="str">
        <f>HYPERLINK("https://inventaire.cncp.gouv.fr/fiches/500/","500")</f>
        <v>500</v>
      </c>
      <c r="E873" s="2" t="str">
        <f>HYPERLINK("http://www.intercariforef.org/formations/certification-85802.html","85802")</f>
        <v>85802</v>
      </c>
      <c r="F873" s="3">
        <v>42282</v>
      </c>
      <c r="G873" s="3">
        <v>42718</v>
      </c>
    </row>
    <row r="874" spans="1:7" x14ac:dyDescent="0.3">
      <c r="A874" s="1" t="s">
        <v>1136</v>
      </c>
      <c r="B874" s="1" t="s">
        <v>1214</v>
      </c>
      <c r="C874" s="1" t="s">
        <v>1188</v>
      </c>
      <c r="D874" s="2" t="str">
        <f>HYPERLINK("https://inventaire.cncp.gouv.fr/fiches/381/","381")</f>
        <v>381</v>
      </c>
      <c r="E874" s="2" t="str">
        <f>HYPERLINK("http://www.intercariforef.org/formations/certification-85796.html","85796")</f>
        <v>85796</v>
      </c>
      <c r="F874" s="3">
        <v>42279</v>
      </c>
      <c r="G874" s="3">
        <v>42718</v>
      </c>
    </row>
    <row r="875" spans="1:7" ht="26.2" x14ac:dyDescent="0.3">
      <c r="A875" s="1" t="s">
        <v>1136</v>
      </c>
      <c r="B875" s="1" t="s">
        <v>1215</v>
      </c>
      <c r="C875" s="1" t="s">
        <v>1188</v>
      </c>
      <c r="D875" s="2" t="str">
        <f>HYPERLINK("https://inventaire.cncp.gouv.fr/fiches/89/","89")</f>
        <v>89</v>
      </c>
      <c r="E875" s="2" t="str">
        <f>HYPERLINK("http://www.intercariforef.org/formations/certification-84538.html","84538")</f>
        <v>84538</v>
      </c>
      <c r="F875" s="3">
        <v>42114</v>
      </c>
      <c r="G875" s="3">
        <v>42718</v>
      </c>
    </row>
    <row r="876" spans="1:7" ht="26.2" x14ac:dyDescent="0.3">
      <c r="A876" s="1" t="s">
        <v>1136</v>
      </c>
      <c r="B876" s="1" t="s">
        <v>1216</v>
      </c>
      <c r="C876" s="1" t="s">
        <v>1188</v>
      </c>
      <c r="D876" s="2" t="str">
        <f>HYPERLINK("https://inventaire.cncp.gouv.fr/fiches/2838/","2838")</f>
        <v>2838</v>
      </c>
      <c r="E876" s="2" t="str">
        <f>HYPERLINK("http://www.intercariforef.org/formations/certification-96571.html","96571")</f>
        <v>96571</v>
      </c>
      <c r="F876" s="3">
        <v>42928</v>
      </c>
      <c r="G876" s="3">
        <v>42928</v>
      </c>
    </row>
    <row r="877" spans="1:7" ht="26.2" x14ac:dyDescent="0.3">
      <c r="A877" s="1" t="s">
        <v>1136</v>
      </c>
      <c r="B877" s="1" t="s">
        <v>1217</v>
      </c>
      <c r="C877" s="1" t="s">
        <v>1188</v>
      </c>
      <c r="D877" s="2" t="str">
        <f>HYPERLINK("https://inventaire.cncp.gouv.fr/fiches/2839/","2839")</f>
        <v>2839</v>
      </c>
      <c r="E877" s="2" t="str">
        <f>HYPERLINK("http://www.intercariforef.org/formations/certification-96569.html","96569")</f>
        <v>96569</v>
      </c>
      <c r="F877" s="3">
        <v>42928</v>
      </c>
      <c r="G877" s="3">
        <v>42928</v>
      </c>
    </row>
    <row r="878" spans="1:7" x14ac:dyDescent="0.3">
      <c r="A878" s="1" t="s">
        <v>1136</v>
      </c>
      <c r="B878" s="1" t="s">
        <v>1218</v>
      </c>
      <c r="C878" s="1" t="s">
        <v>1188</v>
      </c>
      <c r="D878" s="2" t="str">
        <f>HYPERLINK("https://inventaire.cncp.gouv.fr/fiches/712/","712")</f>
        <v>712</v>
      </c>
      <c r="E878" s="2" t="str">
        <f>HYPERLINK("http://www.intercariforef.org/formations/certification-85794.html","85794")</f>
        <v>85794</v>
      </c>
      <c r="F878" s="3">
        <v>42279</v>
      </c>
      <c r="G878" s="3">
        <v>42718</v>
      </c>
    </row>
    <row r="879" spans="1:7" x14ac:dyDescent="0.3">
      <c r="A879" s="1" t="s">
        <v>1136</v>
      </c>
      <c r="B879" s="1" t="s">
        <v>1219</v>
      </c>
      <c r="C879" s="1" t="s">
        <v>1188</v>
      </c>
      <c r="D879" s="2" t="str">
        <f>HYPERLINK("https://inventaire.cncp.gouv.fr/fiches/297/","297")</f>
        <v>297</v>
      </c>
      <c r="E879" s="2" t="str">
        <f>HYPERLINK("http://www.intercariforef.org/formations/certification-84542.html","84542")</f>
        <v>84542</v>
      </c>
      <c r="F879" s="3">
        <v>42114</v>
      </c>
      <c r="G879" s="3">
        <v>42718</v>
      </c>
    </row>
    <row r="880" spans="1:7" ht="26.2" x14ac:dyDescent="0.3">
      <c r="A880" s="1" t="s">
        <v>1136</v>
      </c>
      <c r="B880" s="1" t="s">
        <v>1220</v>
      </c>
      <c r="C880" s="1" t="s">
        <v>1188</v>
      </c>
      <c r="D880" s="2" t="str">
        <f>HYPERLINK("https://inventaire.cncp.gouv.fr/fiches/3301/","3301")</f>
        <v>3301</v>
      </c>
      <c r="E880" s="2" t="str">
        <f>HYPERLINK("http://www.intercariforef.org/formations/certification-101195.html","101195")</f>
        <v>101195</v>
      </c>
      <c r="F880" s="3">
        <v>43250</v>
      </c>
      <c r="G880" s="3">
        <v>43250</v>
      </c>
    </row>
    <row r="881" spans="1:7" x14ac:dyDescent="0.3">
      <c r="A881" s="1" t="s">
        <v>1136</v>
      </c>
      <c r="B881" s="1" t="s">
        <v>1221</v>
      </c>
      <c r="C881" s="1" t="s">
        <v>1188</v>
      </c>
      <c r="D881" s="2" t="str">
        <f>HYPERLINK("https://inventaire.cncp.gouv.fr/fiches/292/","292")</f>
        <v>292</v>
      </c>
      <c r="E881" s="2" t="str">
        <f>HYPERLINK("http://www.intercariforef.org/formations/certification-84534.html","84534")</f>
        <v>84534</v>
      </c>
      <c r="F881" s="3">
        <v>42114</v>
      </c>
      <c r="G881" s="3">
        <v>42718</v>
      </c>
    </row>
    <row r="882" spans="1:7" x14ac:dyDescent="0.3">
      <c r="A882" s="1" t="s">
        <v>1136</v>
      </c>
      <c r="B882" s="1" t="s">
        <v>1222</v>
      </c>
      <c r="C882" s="1" t="s">
        <v>1188</v>
      </c>
      <c r="D882" s="2" t="str">
        <f>HYPERLINK("https://inventaire.cncp.gouv.fr/fiches/380/","380")</f>
        <v>380</v>
      </c>
      <c r="E882" s="2" t="str">
        <f>HYPERLINK("http://www.intercariforef.org/formations/certification-85797.html","85797")</f>
        <v>85797</v>
      </c>
      <c r="F882" s="3">
        <v>42279</v>
      </c>
      <c r="G882" s="3">
        <v>42718</v>
      </c>
    </row>
    <row r="883" spans="1:7" x14ac:dyDescent="0.3">
      <c r="A883" s="1" t="s">
        <v>1136</v>
      </c>
      <c r="B883" s="1" t="s">
        <v>1223</v>
      </c>
      <c r="C883" s="1" t="s">
        <v>1188</v>
      </c>
      <c r="D883" s="2" t="str">
        <f>HYPERLINK("https://inventaire.cncp.gouv.fr/fiches/532/","532")</f>
        <v>532</v>
      </c>
      <c r="E883" s="2" t="str">
        <f>HYPERLINK("http://www.intercariforef.org/formations/certification-85803.html","85803")</f>
        <v>85803</v>
      </c>
      <c r="F883" s="3">
        <v>42282</v>
      </c>
      <c r="G883" s="3">
        <v>42718</v>
      </c>
    </row>
    <row r="884" spans="1:7" x14ac:dyDescent="0.3">
      <c r="A884" s="1" t="s">
        <v>1136</v>
      </c>
      <c r="B884" s="1" t="s">
        <v>1224</v>
      </c>
      <c r="C884" s="1" t="s">
        <v>1188</v>
      </c>
      <c r="D884" s="2" t="str">
        <f>HYPERLINK("https://inventaire.cncp.gouv.fr/fiches/41/","41")</f>
        <v>41</v>
      </c>
      <c r="E884" s="2" t="str">
        <f>HYPERLINK("http://www.intercariforef.org/formations/certification-84512.html","84512")</f>
        <v>84512</v>
      </c>
      <c r="F884" s="3">
        <v>42114</v>
      </c>
      <c r="G884" s="3">
        <v>42718</v>
      </c>
    </row>
    <row r="885" spans="1:7" x14ac:dyDescent="0.3">
      <c r="A885" s="1" t="s">
        <v>1136</v>
      </c>
      <c r="B885" s="1" t="s">
        <v>1225</v>
      </c>
      <c r="C885" s="1" t="s">
        <v>1188</v>
      </c>
      <c r="D885" s="2" t="str">
        <f>HYPERLINK("https://inventaire.cncp.gouv.fr/fiches/6/","6")</f>
        <v>6</v>
      </c>
      <c r="E885" s="2" t="str">
        <f>HYPERLINK("http://www.intercariforef.org/formations/certification-84513.html","84513")</f>
        <v>84513</v>
      </c>
      <c r="F885" s="3">
        <v>42114</v>
      </c>
      <c r="G885" s="3">
        <v>42718</v>
      </c>
    </row>
    <row r="886" spans="1:7" x14ac:dyDescent="0.3">
      <c r="A886" s="1" t="s">
        <v>1136</v>
      </c>
      <c r="B886" s="1" t="s">
        <v>1226</v>
      </c>
      <c r="C886" s="1" t="s">
        <v>1188</v>
      </c>
      <c r="D886" s="2" t="str">
        <f>HYPERLINK("https://inventaire.cncp.gouv.fr/fiches/85/","85")</f>
        <v>85</v>
      </c>
      <c r="E886" s="2" t="str">
        <f>HYPERLINK("http://www.intercariforef.org/formations/certification-84537.html","84537")</f>
        <v>84537</v>
      </c>
      <c r="F886" s="3">
        <v>42114</v>
      </c>
      <c r="G886" s="3">
        <v>42718</v>
      </c>
    </row>
    <row r="887" spans="1:7" x14ac:dyDescent="0.3">
      <c r="A887" s="1" t="s">
        <v>1136</v>
      </c>
      <c r="B887" s="1" t="s">
        <v>1227</v>
      </c>
      <c r="C887" s="1" t="s">
        <v>1188</v>
      </c>
      <c r="D887" s="2" t="str">
        <f>HYPERLINK("https://inventaire.cncp.gouv.fr/fiches/87/","87")</f>
        <v>87</v>
      </c>
      <c r="E887" s="2" t="str">
        <f>HYPERLINK("http://www.intercariforef.org/formations/certification-85774.html","85774")</f>
        <v>85774</v>
      </c>
      <c r="F887" s="3">
        <v>42278</v>
      </c>
      <c r="G887" s="3">
        <v>42718</v>
      </c>
    </row>
    <row r="888" spans="1:7" x14ac:dyDescent="0.3">
      <c r="A888" s="1" t="s">
        <v>1136</v>
      </c>
      <c r="B888" s="1" t="s">
        <v>1228</v>
      </c>
      <c r="C888" s="1" t="s">
        <v>1188</v>
      </c>
      <c r="D888" s="2" t="str">
        <f>HYPERLINK("https://inventaire.cncp.gouv.fr/fiches/2491/","2491")</f>
        <v>2491</v>
      </c>
      <c r="E888" s="2" t="str">
        <f>HYPERLINK("http://www.intercariforef.org/formations/certification-94931.html","94931")</f>
        <v>94931</v>
      </c>
      <c r="F888" s="3">
        <v>42837</v>
      </c>
      <c r="G888" s="3">
        <v>42837</v>
      </c>
    </row>
    <row r="889" spans="1:7" x14ac:dyDescent="0.3">
      <c r="A889" s="1" t="s">
        <v>1136</v>
      </c>
      <c r="B889" s="1" t="s">
        <v>1229</v>
      </c>
      <c r="C889" s="1" t="s">
        <v>1188</v>
      </c>
      <c r="D889" s="2" t="str">
        <f>HYPERLINK("https://inventaire.cncp.gouv.fr/fiches/2500/","2500")</f>
        <v>2500</v>
      </c>
      <c r="E889" s="2" t="str">
        <f>HYPERLINK("http://www.intercariforef.org/formations/certification-94929.html","94929")</f>
        <v>94929</v>
      </c>
      <c r="F889" s="3">
        <v>42837</v>
      </c>
      <c r="G889" s="3">
        <v>42837</v>
      </c>
    </row>
    <row r="890" spans="1:7" x14ac:dyDescent="0.3">
      <c r="A890" s="1" t="s">
        <v>1136</v>
      </c>
      <c r="B890" s="1" t="s">
        <v>1230</v>
      </c>
      <c r="C890" s="1" t="s">
        <v>1188</v>
      </c>
      <c r="D890" s="2" t="str">
        <f>HYPERLINK("https://inventaire.cncp.gouv.fr/fiches/3139/","3139")</f>
        <v>3139</v>
      </c>
      <c r="E890" s="2" t="str">
        <f>HYPERLINK("http://www.intercariforef.org/formations/certification-100131.html","100131")</f>
        <v>100131</v>
      </c>
      <c r="F890" s="3">
        <v>43153</v>
      </c>
      <c r="G890" s="3">
        <v>43153</v>
      </c>
    </row>
    <row r="891" spans="1:7" x14ac:dyDescent="0.3">
      <c r="A891" s="1" t="s">
        <v>1136</v>
      </c>
      <c r="B891" s="1" t="s">
        <v>1231</v>
      </c>
      <c r="C891" s="1" t="s">
        <v>1188</v>
      </c>
      <c r="D891" s="2" t="str">
        <f>HYPERLINK("https://inventaire.cncp.gouv.fr/fiches/2501/","2501")</f>
        <v>2501</v>
      </c>
      <c r="E891" s="2" t="str">
        <f>HYPERLINK("http://www.intercariforef.org/formations/certification-94927.html","94927")</f>
        <v>94927</v>
      </c>
      <c r="F891" s="3">
        <v>42837</v>
      </c>
      <c r="G891" s="3">
        <v>42837</v>
      </c>
    </row>
    <row r="892" spans="1:7" x14ac:dyDescent="0.3">
      <c r="A892" s="1" t="s">
        <v>1136</v>
      </c>
      <c r="B892" s="1" t="s">
        <v>1232</v>
      </c>
      <c r="C892" s="1" t="s">
        <v>1188</v>
      </c>
      <c r="D892" s="2" t="str">
        <f>HYPERLINK("https://inventaire.cncp.gouv.fr/fiches/687/","687")</f>
        <v>687</v>
      </c>
      <c r="E892" s="2" t="str">
        <f>HYPERLINK("http://www.intercariforef.org/formations/certification-85763.html","85763")</f>
        <v>85763</v>
      </c>
      <c r="F892" s="3">
        <v>42278</v>
      </c>
      <c r="G892" s="3">
        <v>42718</v>
      </c>
    </row>
    <row r="893" spans="1:7" x14ac:dyDescent="0.3">
      <c r="A893" s="1" t="s">
        <v>1136</v>
      </c>
      <c r="B893" s="1" t="s">
        <v>1233</v>
      </c>
      <c r="C893" s="1" t="s">
        <v>1188</v>
      </c>
      <c r="D893" s="2" t="str">
        <f>HYPERLINK("https://inventaire.cncp.gouv.fr/fiches/2502/","2502")</f>
        <v>2502</v>
      </c>
      <c r="E893" s="2" t="str">
        <f>HYPERLINK("http://www.intercariforef.org/formations/certification-94925.html","94925")</f>
        <v>94925</v>
      </c>
      <c r="F893" s="3">
        <v>42837</v>
      </c>
      <c r="G893" s="3">
        <v>42837</v>
      </c>
    </row>
    <row r="894" spans="1:7" x14ac:dyDescent="0.3">
      <c r="A894" s="1" t="s">
        <v>1136</v>
      </c>
      <c r="B894" s="1" t="s">
        <v>1234</v>
      </c>
      <c r="C894" s="1" t="s">
        <v>1188</v>
      </c>
      <c r="D894" s="2" t="str">
        <f>HYPERLINK("https://inventaire.cncp.gouv.fr/fiches/289/","289")</f>
        <v>289</v>
      </c>
      <c r="E894" s="2" t="str">
        <f>HYPERLINK("http://www.intercariforef.org/formations/certification-88367.html","88367")</f>
        <v>88367</v>
      </c>
      <c r="F894" s="3">
        <v>42460</v>
      </c>
      <c r="G894" s="3">
        <v>42718</v>
      </c>
    </row>
    <row r="895" spans="1:7" x14ac:dyDescent="0.3">
      <c r="A895" s="1" t="s">
        <v>1136</v>
      </c>
      <c r="B895" s="1" t="s">
        <v>1235</v>
      </c>
      <c r="C895" s="1" t="s">
        <v>1188</v>
      </c>
      <c r="D895" s="2" t="str">
        <f>HYPERLINK("https://inventaire.cncp.gouv.fr/fiches/2503/","2503")</f>
        <v>2503</v>
      </c>
      <c r="E895" s="2" t="str">
        <f>HYPERLINK("http://www.intercariforef.org/formations/certification-94923.html","94923")</f>
        <v>94923</v>
      </c>
      <c r="F895" s="3">
        <v>42837</v>
      </c>
      <c r="G895" s="3">
        <v>42837</v>
      </c>
    </row>
    <row r="896" spans="1:7" x14ac:dyDescent="0.3">
      <c r="A896" s="1" t="s">
        <v>1136</v>
      </c>
      <c r="B896" s="1" t="s">
        <v>1236</v>
      </c>
      <c r="C896" s="1" t="s">
        <v>1188</v>
      </c>
      <c r="D896" s="2" t="str">
        <f>HYPERLINK("https://inventaire.cncp.gouv.fr/fiches/2504/","2504")</f>
        <v>2504</v>
      </c>
      <c r="E896" s="2" t="str">
        <f>HYPERLINK("http://www.intercariforef.org/formations/certification-94921.html","94921")</f>
        <v>94921</v>
      </c>
      <c r="F896" s="3">
        <v>42837</v>
      </c>
      <c r="G896" s="3">
        <v>42837</v>
      </c>
    </row>
    <row r="897" spans="1:7" ht="26.2" x14ac:dyDescent="0.3">
      <c r="A897" s="1" t="s">
        <v>1136</v>
      </c>
      <c r="B897" s="1" t="s">
        <v>1237</v>
      </c>
      <c r="C897" s="1" t="s">
        <v>1188</v>
      </c>
      <c r="D897" s="2" t="str">
        <f>HYPERLINK("https://inventaire.cncp.gouv.fr/fiches/287/","287")</f>
        <v>287</v>
      </c>
      <c r="E897" s="2" t="str">
        <f>HYPERLINK("http://www.intercariforef.org/formations/certification-84552.html","84552")</f>
        <v>84552</v>
      </c>
      <c r="F897" s="3">
        <v>42114</v>
      </c>
      <c r="G897" s="3">
        <v>42718</v>
      </c>
    </row>
    <row r="898" spans="1:7" x14ac:dyDescent="0.3">
      <c r="A898" s="1" t="s">
        <v>1136</v>
      </c>
      <c r="B898" s="1" t="s">
        <v>1238</v>
      </c>
      <c r="C898" s="1" t="s">
        <v>1188</v>
      </c>
      <c r="D898" s="2" t="str">
        <f>HYPERLINK("https://inventaire.cncp.gouv.fr/fiches/499/","499")</f>
        <v>499</v>
      </c>
      <c r="E898" s="2" t="str">
        <f>HYPERLINK("http://www.intercariforef.org/formations/certification-85817.html","85817")</f>
        <v>85817</v>
      </c>
      <c r="F898" s="3">
        <v>42282</v>
      </c>
      <c r="G898" s="3">
        <v>42718</v>
      </c>
    </row>
    <row r="899" spans="1:7" x14ac:dyDescent="0.3">
      <c r="A899" s="1" t="s">
        <v>1136</v>
      </c>
      <c r="B899" s="1" t="s">
        <v>1239</v>
      </c>
      <c r="C899" s="1" t="s">
        <v>1188</v>
      </c>
      <c r="D899" s="2" t="str">
        <f>HYPERLINK("https://inventaire.cncp.gouv.fr/fiches/3137/","3137")</f>
        <v>3137</v>
      </c>
      <c r="E899" s="2" t="str">
        <f>HYPERLINK("http://www.intercariforef.org/formations/certification-98513.html","98513")</f>
        <v>98513</v>
      </c>
      <c r="F899" s="3">
        <v>43033</v>
      </c>
      <c r="G899" s="3">
        <v>43033</v>
      </c>
    </row>
    <row r="900" spans="1:7" x14ac:dyDescent="0.3">
      <c r="A900" s="1" t="s">
        <v>1136</v>
      </c>
      <c r="B900" s="1" t="s">
        <v>1240</v>
      </c>
      <c r="C900" s="1" t="s">
        <v>1188</v>
      </c>
      <c r="D900" s="2" t="str">
        <f>HYPERLINK("https://inventaire.cncp.gouv.fr/fiches/3306/","3306")</f>
        <v>3306</v>
      </c>
      <c r="E900" s="2" t="str">
        <f>HYPERLINK("http://www.intercariforef.org/formations/certification-101191.html","101191")</f>
        <v>101191</v>
      </c>
      <c r="F900" s="3">
        <v>43250</v>
      </c>
      <c r="G900" s="3">
        <v>43250</v>
      </c>
    </row>
    <row r="901" spans="1:7" x14ac:dyDescent="0.3">
      <c r="A901" s="1" t="s">
        <v>1136</v>
      </c>
      <c r="B901" s="1" t="s">
        <v>1241</v>
      </c>
      <c r="C901" s="1" t="s">
        <v>1188</v>
      </c>
      <c r="D901" s="2" t="str">
        <f>HYPERLINK("https://inventaire.cncp.gouv.fr/fiches/3307/","3307")</f>
        <v>3307</v>
      </c>
      <c r="E901" s="2" t="str">
        <f>HYPERLINK("http://www.intercariforef.org/formations/certification-101189.html","101189")</f>
        <v>101189</v>
      </c>
      <c r="F901" s="3">
        <v>43250</v>
      </c>
      <c r="G901" s="3">
        <v>43250</v>
      </c>
    </row>
    <row r="902" spans="1:7" x14ac:dyDescent="0.3">
      <c r="A902" s="1" t="s">
        <v>1136</v>
      </c>
      <c r="B902" s="1" t="s">
        <v>1242</v>
      </c>
      <c r="C902" s="1" t="s">
        <v>1188</v>
      </c>
      <c r="D902" s="2" t="str">
        <f>HYPERLINK("https://inventaire.cncp.gouv.fr/fiches/3136/","3136")</f>
        <v>3136</v>
      </c>
      <c r="E902" s="2" t="str">
        <f>HYPERLINK("http://www.intercariforef.org/formations/certification-98515.html","98515")</f>
        <v>98515</v>
      </c>
      <c r="F902" s="3">
        <v>43033</v>
      </c>
      <c r="G902" s="3">
        <v>43033</v>
      </c>
    </row>
    <row r="903" spans="1:7" ht="26.2" x14ac:dyDescent="0.3">
      <c r="A903" s="1" t="s">
        <v>1136</v>
      </c>
      <c r="B903" s="1" t="s">
        <v>1243</v>
      </c>
      <c r="C903" s="1" t="s">
        <v>1188</v>
      </c>
      <c r="D903" s="2" t="str">
        <f>HYPERLINK("https://inventaire.cncp.gouv.fr/fiches/2507/","2507")</f>
        <v>2507</v>
      </c>
      <c r="E903" s="2" t="str">
        <f>HYPERLINK("http://www.intercariforef.org/formations/certification-94915.html","94915")</f>
        <v>94915</v>
      </c>
      <c r="F903" s="3">
        <v>42837</v>
      </c>
      <c r="G903" s="3">
        <v>42837</v>
      </c>
    </row>
    <row r="904" spans="1:7" ht="26.2" x14ac:dyDescent="0.3">
      <c r="A904" s="1" t="s">
        <v>1136</v>
      </c>
      <c r="B904" s="1" t="s">
        <v>1244</v>
      </c>
      <c r="C904" s="1" t="s">
        <v>1188</v>
      </c>
      <c r="D904" s="2" t="str">
        <f>HYPERLINK("https://inventaire.cncp.gouv.fr/fiches/88/","88")</f>
        <v>88</v>
      </c>
      <c r="E904" s="2" t="str">
        <f>HYPERLINK("http://www.intercariforef.org/formations/certification-84544.html","84544")</f>
        <v>84544</v>
      </c>
      <c r="F904" s="3">
        <v>42114</v>
      </c>
      <c r="G904" s="3">
        <v>42718</v>
      </c>
    </row>
    <row r="905" spans="1:7" x14ac:dyDescent="0.3">
      <c r="A905" s="1" t="s">
        <v>1136</v>
      </c>
      <c r="B905" s="1" t="s">
        <v>1245</v>
      </c>
      <c r="C905" s="1" t="s">
        <v>1188</v>
      </c>
      <c r="D905" s="2" t="str">
        <f>HYPERLINK("https://inventaire.cncp.gouv.fr/fiches/43/","43")</f>
        <v>43</v>
      </c>
      <c r="E905" s="2" t="str">
        <f>HYPERLINK("http://www.intercariforef.org/formations/certification-84545.html","84545")</f>
        <v>84545</v>
      </c>
      <c r="F905" s="3">
        <v>42114</v>
      </c>
      <c r="G905" s="3">
        <v>42718</v>
      </c>
    </row>
    <row r="906" spans="1:7" x14ac:dyDescent="0.3">
      <c r="A906" s="1" t="s">
        <v>1136</v>
      </c>
      <c r="B906" s="1" t="s">
        <v>1246</v>
      </c>
      <c r="C906" s="1" t="s">
        <v>1188</v>
      </c>
      <c r="D906" s="2" t="str">
        <f>HYPERLINK("https://inventaire.cncp.gouv.fr/fiches/44/","44")</f>
        <v>44</v>
      </c>
      <c r="E906" s="2" t="str">
        <f>HYPERLINK("http://www.intercariforef.org/formations/certification-84521.html","84521")</f>
        <v>84521</v>
      </c>
      <c r="F906" s="3">
        <v>42114</v>
      </c>
      <c r="G906" s="3">
        <v>42718</v>
      </c>
    </row>
    <row r="907" spans="1:7" x14ac:dyDescent="0.3">
      <c r="A907" s="1" t="s">
        <v>1136</v>
      </c>
      <c r="B907" s="1" t="s">
        <v>1247</v>
      </c>
      <c r="C907" s="1" t="s">
        <v>1188</v>
      </c>
      <c r="D907" s="2" t="str">
        <f>HYPERLINK("https://inventaire.cncp.gouv.fr/fiches/713/","713")</f>
        <v>713</v>
      </c>
      <c r="E907" s="2" t="str">
        <f>HYPERLINK("http://www.intercariforef.org/formations/certification-85800.html","85800")</f>
        <v>85800</v>
      </c>
      <c r="F907" s="3">
        <v>42282</v>
      </c>
      <c r="G907" s="3">
        <v>42718</v>
      </c>
    </row>
    <row r="908" spans="1:7" x14ac:dyDescent="0.3">
      <c r="A908" s="1" t="s">
        <v>1136</v>
      </c>
      <c r="B908" s="1" t="s">
        <v>1248</v>
      </c>
      <c r="C908" s="1" t="s">
        <v>1249</v>
      </c>
      <c r="D908" s="2" t="str">
        <f>HYPERLINK("https://inventaire.cncp.gouv.fr/fiches/3316/","3316")</f>
        <v>3316</v>
      </c>
      <c r="E908" s="2" t="str">
        <f>HYPERLINK("http://www.intercariforef.org/formations/certification-100079.html","100079")</f>
        <v>100079</v>
      </c>
      <c r="F908" s="3">
        <v>43152</v>
      </c>
      <c r="G908" s="3">
        <v>43152</v>
      </c>
    </row>
    <row r="909" spans="1:7" x14ac:dyDescent="0.3">
      <c r="A909" s="1" t="s">
        <v>1136</v>
      </c>
      <c r="B909" s="1" t="s">
        <v>1250</v>
      </c>
      <c r="C909" s="1" t="s">
        <v>326</v>
      </c>
      <c r="D909" s="2" t="str">
        <f>HYPERLINK("https://inventaire.cncp.gouv.fr/fiches/2498/","2498")</f>
        <v>2498</v>
      </c>
      <c r="E909" s="2" t="str">
        <f>HYPERLINK("http://www.intercariforef.org/formations/certification-95461.html","95461")</f>
        <v>95461</v>
      </c>
      <c r="F909" s="3">
        <v>42884</v>
      </c>
      <c r="G909" s="3">
        <v>42979</v>
      </c>
    </row>
    <row r="910" spans="1:7" x14ac:dyDescent="0.3">
      <c r="A910" s="1" t="s">
        <v>1136</v>
      </c>
      <c r="B910" s="1" t="s">
        <v>1251</v>
      </c>
      <c r="C910" s="1" t="s">
        <v>1252</v>
      </c>
      <c r="D910" s="2" t="str">
        <f>HYPERLINK("https://inventaire.cncp.gouv.fr/fiches/3058/","3058")</f>
        <v>3058</v>
      </c>
      <c r="E910" s="2" t="str">
        <f>HYPERLINK("http://www.intercariforef.org/formations/certification-98523.html","98523")</f>
        <v>98523</v>
      </c>
      <c r="F910" s="3">
        <v>43033</v>
      </c>
      <c r="G910" s="3">
        <v>43033</v>
      </c>
    </row>
    <row r="911" spans="1:7" ht="26.2" x14ac:dyDescent="0.3">
      <c r="A911" s="1" t="s">
        <v>1136</v>
      </c>
      <c r="B911" s="1" t="s">
        <v>1253</v>
      </c>
      <c r="C911" s="1" t="s">
        <v>1254</v>
      </c>
      <c r="D911" s="2" t="str">
        <f>HYPERLINK("https://inventaire.cncp.gouv.fr/fiches/2364/","2364")</f>
        <v>2364</v>
      </c>
      <c r="E911" s="2" t="str">
        <f>HYPERLINK("http://www.intercariforef.org/formations/certification-92093.html","92093")</f>
        <v>92093</v>
      </c>
      <c r="F911" s="3">
        <v>42667</v>
      </c>
      <c r="G911" s="3">
        <v>42718</v>
      </c>
    </row>
    <row r="912" spans="1:7" x14ac:dyDescent="0.3">
      <c r="A912" s="1" t="s">
        <v>1136</v>
      </c>
      <c r="B912" s="1" t="s">
        <v>1255</v>
      </c>
      <c r="C912" s="1" t="s">
        <v>655</v>
      </c>
      <c r="D912" s="2" t="str">
        <f>HYPERLINK("https://inventaire.cncp.gouv.fr/fiches/3840/","3840")</f>
        <v>3840</v>
      </c>
      <c r="E912" s="2" t="str">
        <f>HYPERLINK("http://www.intercariforef.org/formations/certification-103945.html","103945")</f>
        <v>103945</v>
      </c>
      <c r="F912" s="3">
        <v>43390</v>
      </c>
      <c r="G912" s="3">
        <v>43390</v>
      </c>
    </row>
    <row r="913" spans="1:7" x14ac:dyDescent="0.3">
      <c r="A913" s="1" t="s">
        <v>1136</v>
      </c>
      <c r="B913" s="1" t="s">
        <v>1256</v>
      </c>
      <c r="C913" s="1" t="s">
        <v>1257</v>
      </c>
      <c r="D913" s="2" t="str">
        <f>HYPERLINK("https://inventaire.cncp.gouv.fr/fiches/1303/","1303")</f>
        <v>1303</v>
      </c>
      <c r="E913" s="2" t="str">
        <f>HYPERLINK("http://www.intercariforef.org/formations/certification-85521.html","85521")</f>
        <v>85521</v>
      </c>
      <c r="F913" s="3">
        <v>42269</v>
      </c>
      <c r="G913" s="3">
        <v>43111</v>
      </c>
    </row>
    <row r="914" spans="1:7" x14ac:dyDescent="0.3">
      <c r="A914" s="1" t="s">
        <v>1136</v>
      </c>
      <c r="B914" s="1" t="s">
        <v>1258</v>
      </c>
      <c r="C914" s="1" t="s">
        <v>1257</v>
      </c>
      <c r="D914" s="2" t="str">
        <f>HYPERLINK("https://inventaire.cncp.gouv.fr/fiches/1302/","1302")</f>
        <v>1302</v>
      </c>
      <c r="E914" s="2" t="str">
        <f>HYPERLINK("http://www.intercariforef.org/formations/certification-85524.html","85524")</f>
        <v>85524</v>
      </c>
      <c r="F914" s="3">
        <v>42269</v>
      </c>
      <c r="G914" s="3">
        <v>43111</v>
      </c>
    </row>
    <row r="915" spans="1:7" ht="26.2" x14ac:dyDescent="0.3">
      <c r="A915" s="1" t="s">
        <v>1136</v>
      </c>
      <c r="B915" s="1" t="s">
        <v>1259</v>
      </c>
      <c r="C915" s="1" t="s">
        <v>1257</v>
      </c>
      <c r="D915" s="2" t="str">
        <f>HYPERLINK("https://inventaire.cncp.gouv.fr/fiches/1299/","1299")</f>
        <v>1299</v>
      </c>
      <c r="E915" s="2" t="str">
        <f>HYPERLINK("http://www.intercariforef.org/formations/certification-85525.html","85525")</f>
        <v>85525</v>
      </c>
      <c r="F915" s="3">
        <v>42269</v>
      </c>
      <c r="G915" s="3">
        <v>43111</v>
      </c>
    </row>
    <row r="916" spans="1:7" x14ac:dyDescent="0.3">
      <c r="A916" s="1" t="s">
        <v>1136</v>
      </c>
      <c r="B916" s="1" t="s">
        <v>1260</v>
      </c>
      <c r="C916" s="1" t="s">
        <v>655</v>
      </c>
      <c r="D916" s="2" t="str">
        <f>HYPERLINK("https://inventaire.cncp.gouv.fr/fiches/2946/","2946")</f>
        <v>2946</v>
      </c>
      <c r="E916" s="2" t="str">
        <f>HYPERLINK("http://www.intercariforef.org/formations/certification-96531.html","96531")</f>
        <v>96531</v>
      </c>
      <c r="F916" s="3">
        <v>42928</v>
      </c>
      <c r="G916" s="3">
        <v>42928</v>
      </c>
    </row>
    <row r="917" spans="1:7" x14ac:dyDescent="0.3">
      <c r="A917" s="1" t="s">
        <v>1136</v>
      </c>
      <c r="B917" s="1" t="s">
        <v>1261</v>
      </c>
      <c r="C917" s="1" t="s">
        <v>655</v>
      </c>
      <c r="D917" s="2" t="str">
        <f>HYPERLINK("https://inventaire.cncp.gouv.fr/fiches/2956/","2956")</f>
        <v>2956</v>
      </c>
      <c r="E917" s="2" t="str">
        <f>HYPERLINK("http://www.intercariforef.org/formations/certification-96521.html","96521")</f>
        <v>96521</v>
      </c>
      <c r="F917" s="3">
        <v>42928</v>
      </c>
      <c r="G917" s="3">
        <v>42928</v>
      </c>
    </row>
    <row r="918" spans="1:7" x14ac:dyDescent="0.3">
      <c r="A918" s="1" t="s">
        <v>1136</v>
      </c>
      <c r="B918" s="1" t="s">
        <v>1262</v>
      </c>
      <c r="C918" s="1" t="s">
        <v>655</v>
      </c>
      <c r="D918" s="2" t="str">
        <f>HYPERLINK("https://inventaire.cncp.gouv.fr/fiches/2951/","2951")</f>
        <v>2951</v>
      </c>
      <c r="E918" s="2" t="str">
        <f>HYPERLINK("http://www.intercariforef.org/formations/certification-96527.html","96527")</f>
        <v>96527</v>
      </c>
      <c r="F918" s="3">
        <v>42928</v>
      </c>
      <c r="G918" s="3">
        <v>42928</v>
      </c>
    </row>
    <row r="919" spans="1:7" x14ac:dyDescent="0.3">
      <c r="A919" s="1" t="s">
        <v>1136</v>
      </c>
      <c r="B919" s="1" t="s">
        <v>1263</v>
      </c>
      <c r="C919" s="1" t="s">
        <v>655</v>
      </c>
      <c r="D919" s="2" t="str">
        <f>HYPERLINK("https://inventaire.cncp.gouv.fr/fiches/2950/","2950")</f>
        <v>2950</v>
      </c>
      <c r="E919" s="2" t="str">
        <f>HYPERLINK("http://www.intercariforef.org/formations/certification-96529.html","96529")</f>
        <v>96529</v>
      </c>
      <c r="F919" s="3">
        <v>42928</v>
      </c>
      <c r="G919" s="3">
        <v>42928</v>
      </c>
    </row>
    <row r="920" spans="1:7" ht="26.2" x14ac:dyDescent="0.3">
      <c r="A920" s="1" t="s">
        <v>1136</v>
      </c>
      <c r="B920" s="1" t="s">
        <v>1264</v>
      </c>
      <c r="C920" s="1" t="s">
        <v>655</v>
      </c>
      <c r="D920" s="2" t="str">
        <f>HYPERLINK("https://inventaire.cncp.gouv.fr/fiches/2955/","2955")</f>
        <v>2955</v>
      </c>
      <c r="E920" s="2" t="str">
        <f>HYPERLINK("http://www.intercariforef.org/formations/certification-96523.html","96523")</f>
        <v>96523</v>
      </c>
      <c r="F920" s="3">
        <v>42928</v>
      </c>
      <c r="G920" s="3">
        <v>42928</v>
      </c>
    </row>
    <row r="921" spans="1:7" ht="26.2" x14ac:dyDescent="0.3">
      <c r="A921" s="1" t="s">
        <v>1136</v>
      </c>
      <c r="B921" s="1" t="s">
        <v>1265</v>
      </c>
      <c r="C921" s="1" t="s">
        <v>1266</v>
      </c>
      <c r="D921" s="2" t="str">
        <f>HYPERLINK("https://inventaire.cncp.gouv.fr/fiches/3237/","3237")</f>
        <v>3237</v>
      </c>
      <c r="E921" s="2" t="str">
        <f>HYPERLINK("http://www.intercariforef.org/formations/certification-100401.html","100401")</f>
        <v>100401</v>
      </c>
      <c r="F921" s="3">
        <v>43173</v>
      </c>
      <c r="G921" s="3">
        <v>43173</v>
      </c>
    </row>
    <row r="922" spans="1:7" x14ac:dyDescent="0.3">
      <c r="A922" s="1" t="s">
        <v>1136</v>
      </c>
      <c r="B922" s="1" t="s">
        <v>1267</v>
      </c>
      <c r="C922" s="1" t="s">
        <v>655</v>
      </c>
      <c r="D922" s="2" t="str">
        <f>HYPERLINK("https://inventaire.cncp.gouv.fr/fiches/2931/","2931")</f>
        <v>2931</v>
      </c>
      <c r="E922" s="2" t="str">
        <f>HYPERLINK("http://www.intercariforef.org/formations/certification-96533.html","96533")</f>
        <v>96533</v>
      </c>
      <c r="F922" s="3">
        <v>42928</v>
      </c>
      <c r="G922" s="3">
        <v>42928</v>
      </c>
    </row>
    <row r="923" spans="1:7" ht="26.2" x14ac:dyDescent="0.3">
      <c r="A923" s="1" t="s">
        <v>1136</v>
      </c>
      <c r="B923" s="1" t="s">
        <v>1268</v>
      </c>
      <c r="C923" s="1" t="s">
        <v>655</v>
      </c>
      <c r="D923" s="2" t="str">
        <f>HYPERLINK("https://inventaire.cncp.gouv.fr/fiches/2927/","2927")</f>
        <v>2927</v>
      </c>
      <c r="E923" s="2" t="str">
        <f>HYPERLINK("http://www.intercariforef.org/formations/certification-96537.html","96537")</f>
        <v>96537</v>
      </c>
      <c r="F923" s="3">
        <v>42928</v>
      </c>
      <c r="G923" s="3">
        <v>42928</v>
      </c>
    </row>
    <row r="924" spans="1:7" x14ac:dyDescent="0.3">
      <c r="A924" s="1" t="s">
        <v>1136</v>
      </c>
      <c r="B924" s="1" t="s">
        <v>1269</v>
      </c>
      <c r="C924" s="1" t="s">
        <v>655</v>
      </c>
      <c r="D924" s="2" t="str">
        <f>HYPERLINK("https://inventaire.cncp.gouv.fr/fiches/3839/","3839")</f>
        <v>3839</v>
      </c>
      <c r="E924" s="2" t="str">
        <f>HYPERLINK("http://www.intercariforef.org/formations/certification-103947.html","103947")</f>
        <v>103947</v>
      </c>
      <c r="F924" s="3">
        <v>43390</v>
      </c>
      <c r="G924" s="3">
        <v>43390</v>
      </c>
    </row>
    <row r="925" spans="1:7" x14ac:dyDescent="0.3">
      <c r="A925" s="1" t="s">
        <v>1136</v>
      </c>
      <c r="B925" s="1" t="s">
        <v>1270</v>
      </c>
      <c r="C925" s="1" t="s">
        <v>655</v>
      </c>
      <c r="D925" s="2" t="str">
        <f>HYPERLINK("https://inventaire.cncp.gouv.fr/fiches/3832/","3832")</f>
        <v>3832</v>
      </c>
      <c r="E925" s="2" t="str">
        <f>HYPERLINK("http://www.intercariforef.org/formations/certification-103949.html","103949")</f>
        <v>103949</v>
      </c>
      <c r="F925" s="3">
        <v>43390</v>
      </c>
      <c r="G925" s="3">
        <v>43390</v>
      </c>
    </row>
    <row r="926" spans="1:7" x14ac:dyDescent="0.3">
      <c r="A926" s="1" t="s">
        <v>1136</v>
      </c>
      <c r="B926" s="1" t="s">
        <v>1271</v>
      </c>
      <c r="C926" s="1" t="s">
        <v>1126</v>
      </c>
      <c r="D926" s="2" t="str">
        <f>HYPERLINK("https://inventaire.cncp.gouv.fr/fiches/3388/","3388")</f>
        <v>3388</v>
      </c>
      <c r="E926" s="2" t="str">
        <f>HYPERLINK("http://www.intercariforef.org/formations/certification-100665.html","100665")</f>
        <v>100665</v>
      </c>
      <c r="F926" s="3">
        <v>43194</v>
      </c>
      <c r="G926" s="3">
        <v>43194</v>
      </c>
    </row>
    <row r="927" spans="1:7" x14ac:dyDescent="0.3">
      <c r="A927" s="1" t="s">
        <v>1136</v>
      </c>
      <c r="B927" s="1" t="s">
        <v>1272</v>
      </c>
      <c r="C927" s="1" t="s">
        <v>1126</v>
      </c>
      <c r="D927" s="2" t="str">
        <f>HYPERLINK("https://inventaire.cncp.gouv.fr/fiches/3540/","3540")</f>
        <v>3540</v>
      </c>
      <c r="E927" s="2" t="str">
        <f>HYPERLINK("http://www.intercariforef.org/formations/certification-100539.html","100539")</f>
        <v>100539</v>
      </c>
      <c r="F927" s="3">
        <v>43187</v>
      </c>
      <c r="G927" s="3">
        <v>43187</v>
      </c>
    </row>
    <row r="928" spans="1:7" x14ac:dyDescent="0.3">
      <c r="A928" s="1" t="s">
        <v>1136</v>
      </c>
      <c r="B928" s="1" t="s">
        <v>1273</v>
      </c>
      <c r="C928" s="1" t="s">
        <v>1274</v>
      </c>
      <c r="D928" s="2" t="str">
        <f>HYPERLINK("https://inventaire.cncp.gouv.fr/fiches/3544/","3544")</f>
        <v>3544</v>
      </c>
      <c r="E928" s="2" t="str">
        <f>HYPERLINK("http://www.intercariforef.org/formations/certification-101169.html","101169")</f>
        <v>101169</v>
      </c>
      <c r="F928" s="3">
        <v>43250</v>
      </c>
      <c r="G928" s="3">
        <v>43250</v>
      </c>
    </row>
    <row r="929" spans="1:7" x14ac:dyDescent="0.3">
      <c r="A929" s="1" t="s">
        <v>1136</v>
      </c>
      <c r="B929" s="1" t="s">
        <v>1275</v>
      </c>
      <c r="C929" s="1" t="s">
        <v>1276</v>
      </c>
      <c r="D929" s="2" t="str">
        <f>HYPERLINK("https://inventaire.cncp.gouv.fr/fiches/2290/","2290")</f>
        <v>2290</v>
      </c>
      <c r="E929" s="2" t="str">
        <f>HYPERLINK("http://www.intercariforef.org/formations/certification-92113.html","92113")</f>
        <v>92113</v>
      </c>
      <c r="F929" s="3">
        <v>42667</v>
      </c>
      <c r="G929" s="3">
        <v>42667</v>
      </c>
    </row>
    <row r="930" spans="1:7" x14ac:dyDescent="0.3">
      <c r="A930" s="1" t="s">
        <v>1136</v>
      </c>
      <c r="B930" s="1" t="s">
        <v>1277</v>
      </c>
      <c r="C930" s="1" t="s">
        <v>1278</v>
      </c>
      <c r="D930" s="4" t="s">
        <v>536</v>
      </c>
      <c r="E930" s="2" t="str">
        <f>HYPERLINK("http://www.intercariforef.org/formations/certification-66050.html","66050")</f>
        <v>66050</v>
      </c>
      <c r="F930" s="3">
        <v>40225</v>
      </c>
      <c r="G930" s="3">
        <v>43125</v>
      </c>
    </row>
    <row r="931" spans="1:7" x14ac:dyDescent="0.3">
      <c r="A931" s="1" t="s">
        <v>1136</v>
      </c>
      <c r="B931" s="1" t="s">
        <v>1279</v>
      </c>
      <c r="C931" s="1" t="s">
        <v>1278</v>
      </c>
      <c r="D931" s="4" t="s">
        <v>536</v>
      </c>
      <c r="E931" s="2" t="str">
        <f>HYPERLINK("http://www.intercariforef.org/formations/certification-73670.html","73670")</f>
        <v>73670</v>
      </c>
      <c r="F931" s="3">
        <v>40577</v>
      </c>
      <c r="G931" s="3">
        <v>43125</v>
      </c>
    </row>
    <row r="932" spans="1:7" x14ac:dyDescent="0.3">
      <c r="A932" s="1" t="s">
        <v>1136</v>
      </c>
      <c r="B932" s="1" t="s">
        <v>1280</v>
      </c>
      <c r="C932" s="1" t="s">
        <v>1278</v>
      </c>
      <c r="D932" s="4" t="s">
        <v>536</v>
      </c>
      <c r="E932" s="2" t="str">
        <f>HYPERLINK("http://www.intercariforef.org/formations/certification-77024.html","77024")</f>
        <v>77024</v>
      </c>
      <c r="F932" s="3">
        <v>40928</v>
      </c>
      <c r="G932" s="3">
        <v>43125</v>
      </c>
    </row>
    <row r="933" spans="1:7" x14ac:dyDescent="0.3">
      <c r="A933" s="1" t="s">
        <v>1136</v>
      </c>
      <c r="B933" s="1" t="s">
        <v>1281</v>
      </c>
      <c r="C933" s="1" t="s">
        <v>1282</v>
      </c>
      <c r="D933" s="2" t="str">
        <f>HYPERLINK("https://inventaire.cncp.gouv.fr/fiches/1268/","1268")</f>
        <v>1268</v>
      </c>
      <c r="E933" s="2" t="str">
        <f>HYPERLINK("http://www.intercariforef.org/formations/certification-85528.html","85528")</f>
        <v>85528</v>
      </c>
      <c r="F933" s="3">
        <v>42269</v>
      </c>
      <c r="G933" s="3">
        <v>43017</v>
      </c>
    </row>
    <row r="934" spans="1:7" x14ac:dyDescent="0.3">
      <c r="A934" s="1" t="s">
        <v>1136</v>
      </c>
      <c r="B934" s="1" t="s">
        <v>1283</v>
      </c>
      <c r="C934" s="1" t="s">
        <v>726</v>
      </c>
      <c r="D934" s="2" t="str">
        <f>HYPERLINK("https://inventaire.cncp.gouv.fr/fiches/1001/","1001")</f>
        <v>1001</v>
      </c>
      <c r="E934" s="2" t="str">
        <f>HYPERLINK("http://www.intercariforef.org/formations/certification-85163.html","85163")</f>
        <v>85163</v>
      </c>
      <c r="F934" s="3">
        <v>42201</v>
      </c>
      <c r="G934" s="3">
        <v>42718</v>
      </c>
    </row>
    <row r="935" spans="1:7" x14ac:dyDescent="0.3">
      <c r="A935" s="1" t="s">
        <v>1136</v>
      </c>
      <c r="B935" s="1" t="s">
        <v>1284</v>
      </c>
      <c r="C935" s="1" t="s">
        <v>830</v>
      </c>
      <c r="D935" s="2" t="str">
        <f>HYPERLINK("https://inventaire.cncp.gouv.fr/fiches/2304/","2304")</f>
        <v>2304</v>
      </c>
      <c r="E935" s="2" t="str">
        <f>HYPERLINK("http://www.intercariforef.org/formations/certification-93765.html","93765")</f>
        <v>93765</v>
      </c>
      <c r="F935" s="3">
        <v>42725</v>
      </c>
      <c r="G935" s="3">
        <v>42725</v>
      </c>
    </row>
    <row r="936" spans="1:7" x14ac:dyDescent="0.3">
      <c r="A936" s="1" t="s">
        <v>1136</v>
      </c>
      <c r="B936" s="1" t="s">
        <v>1285</v>
      </c>
      <c r="C936" s="1" t="s">
        <v>830</v>
      </c>
      <c r="D936" s="2" t="str">
        <f>HYPERLINK("https://inventaire.cncp.gouv.fr/fiches/2324/","2324")</f>
        <v>2324</v>
      </c>
      <c r="E936" s="2" t="str">
        <f>HYPERLINK("http://www.intercariforef.org/formations/certification-93763.html","93763")</f>
        <v>93763</v>
      </c>
      <c r="F936" s="3">
        <v>42725</v>
      </c>
      <c r="G936" s="3">
        <v>42725</v>
      </c>
    </row>
    <row r="937" spans="1:7" x14ac:dyDescent="0.3">
      <c r="A937" s="1" t="s">
        <v>1136</v>
      </c>
      <c r="B937" s="1" t="s">
        <v>1286</v>
      </c>
      <c r="C937" s="1" t="s">
        <v>1287</v>
      </c>
      <c r="D937" s="2" t="str">
        <f>HYPERLINK("https://inventaire.cncp.gouv.fr/fiches/2110/","2110")</f>
        <v>2110</v>
      </c>
      <c r="E937" s="2" t="str">
        <f>HYPERLINK("http://www.intercariforef.org/formations/certification-90073.html","90073")</f>
        <v>90073</v>
      </c>
      <c r="F937" s="3">
        <v>42559</v>
      </c>
      <c r="G937" s="3">
        <v>43173</v>
      </c>
    </row>
    <row r="938" spans="1:7" x14ac:dyDescent="0.3">
      <c r="A938" s="1" t="s">
        <v>1136</v>
      </c>
      <c r="B938" s="1" t="s">
        <v>1288</v>
      </c>
      <c r="C938" s="1" t="s">
        <v>1278</v>
      </c>
      <c r="D938" s="4" t="s">
        <v>536</v>
      </c>
      <c r="E938" s="2" t="str">
        <f>HYPERLINK("http://www.intercariforef.org/formations/certification-84427.html","84427")</f>
        <v>84427</v>
      </c>
      <c r="F938" s="3">
        <v>42109</v>
      </c>
      <c r="G938" s="3">
        <v>43125</v>
      </c>
    </row>
    <row r="939" spans="1:7" x14ac:dyDescent="0.3">
      <c r="A939" s="1" t="s">
        <v>1136</v>
      </c>
      <c r="B939" s="1" t="s">
        <v>1289</v>
      </c>
      <c r="C939" s="1" t="s">
        <v>668</v>
      </c>
      <c r="D939" s="2" t="str">
        <f>HYPERLINK("https://inventaire.cncp.gouv.fr/fiches/2271/","2271")</f>
        <v>2271</v>
      </c>
      <c r="E939" s="2" t="str">
        <f>HYPERLINK("http://www.intercariforef.org/formations/certification-92117.html","92117")</f>
        <v>92117</v>
      </c>
      <c r="F939" s="3">
        <v>42667</v>
      </c>
      <c r="G939" s="3">
        <v>42667</v>
      </c>
    </row>
    <row r="940" spans="1:7" x14ac:dyDescent="0.3">
      <c r="A940" s="1" t="s">
        <v>1136</v>
      </c>
      <c r="B940" s="1" t="s">
        <v>1290</v>
      </c>
      <c r="C940" s="1" t="s">
        <v>359</v>
      </c>
      <c r="D940" s="2" t="str">
        <f>HYPERLINK("https://inventaire.cncp.gouv.fr/fiches/646/","646")</f>
        <v>646</v>
      </c>
      <c r="E940" s="2" t="str">
        <f>HYPERLINK("http://www.intercariforef.org/formations/certification-84944.html","84944")</f>
        <v>84944</v>
      </c>
      <c r="F940" s="3">
        <v>42178</v>
      </c>
      <c r="G940" s="3">
        <v>42178</v>
      </c>
    </row>
    <row r="941" spans="1:7" x14ac:dyDescent="0.3">
      <c r="A941" s="1" t="s">
        <v>1136</v>
      </c>
      <c r="B941" s="1" t="s">
        <v>1291</v>
      </c>
      <c r="C941" s="1" t="s">
        <v>1292</v>
      </c>
      <c r="D941" s="2" t="str">
        <f>HYPERLINK("https://inventaire.cncp.gouv.fr/fiches/2286/","2286")</f>
        <v>2286</v>
      </c>
      <c r="E941" s="2" t="str">
        <f>HYPERLINK("http://www.intercariforef.org/formations/certification-94873.html","94873")</f>
        <v>94873</v>
      </c>
      <c r="F941" s="3">
        <v>42836</v>
      </c>
      <c r="G941" s="3">
        <v>42836</v>
      </c>
    </row>
    <row r="942" spans="1:7" x14ac:dyDescent="0.3">
      <c r="A942" s="1" t="s">
        <v>1136</v>
      </c>
      <c r="B942" s="1" t="s">
        <v>1293</v>
      </c>
      <c r="C942" s="1" t="s">
        <v>411</v>
      </c>
      <c r="D942" s="2" t="str">
        <f>HYPERLINK("https://inventaire.cncp.gouv.fr/fiches/279/","279")</f>
        <v>279</v>
      </c>
      <c r="E942" s="2" t="str">
        <f>HYPERLINK("http://www.intercariforef.org/formations/certification-84520.html","84520")</f>
        <v>84520</v>
      </c>
      <c r="F942" s="3">
        <v>42114</v>
      </c>
      <c r="G942" s="3">
        <v>42718</v>
      </c>
    </row>
    <row r="943" spans="1:7" x14ac:dyDescent="0.3">
      <c r="A943" s="1" t="s">
        <v>1136</v>
      </c>
      <c r="B943" s="1" t="s">
        <v>1294</v>
      </c>
      <c r="C943" s="1" t="s">
        <v>411</v>
      </c>
      <c r="D943" s="2" t="str">
        <f>HYPERLINK("https://inventaire.cncp.gouv.fr/fiches/226/","226")</f>
        <v>226</v>
      </c>
      <c r="E943" s="2" t="str">
        <f>HYPERLINK("http://www.intercariforef.org/formations/certification-84518.html","84518")</f>
        <v>84518</v>
      </c>
      <c r="F943" s="3">
        <v>42114</v>
      </c>
      <c r="G943" s="3">
        <v>42718</v>
      </c>
    </row>
    <row r="944" spans="1:7" x14ac:dyDescent="0.3">
      <c r="A944" s="1" t="s">
        <v>1136</v>
      </c>
      <c r="B944" s="1" t="s">
        <v>1295</v>
      </c>
      <c r="C944" s="1" t="s">
        <v>411</v>
      </c>
      <c r="D944" s="2" t="str">
        <f>HYPERLINK("https://inventaire.cncp.gouv.fr/fiches/638/","638")</f>
        <v>638</v>
      </c>
      <c r="E944" s="2" t="str">
        <f>HYPERLINK("http://www.intercariforef.org/formations/certification-84970.html","84970")</f>
        <v>84970</v>
      </c>
      <c r="F944" s="3">
        <v>42178</v>
      </c>
      <c r="G944" s="3">
        <v>42178</v>
      </c>
    </row>
    <row r="945" spans="1:7" x14ac:dyDescent="0.3">
      <c r="A945" s="1" t="s">
        <v>1136</v>
      </c>
      <c r="B945" s="1" t="s">
        <v>1296</v>
      </c>
      <c r="C945" s="1" t="s">
        <v>411</v>
      </c>
      <c r="D945" s="2" t="str">
        <f>HYPERLINK("https://inventaire.cncp.gouv.fr/fiches/1028/","1028")</f>
        <v>1028</v>
      </c>
      <c r="E945" s="2" t="str">
        <f>HYPERLINK("http://www.intercariforef.org/formations/certification-85001.html","85001")</f>
        <v>85001</v>
      </c>
      <c r="F945" s="3">
        <v>42184</v>
      </c>
      <c r="G945" s="3">
        <v>42718</v>
      </c>
    </row>
    <row r="946" spans="1:7" x14ac:dyDescent="0.3">
      <c r="A946" s="1" t="s">
        <v>1136</v>
      </c>
      <c r="B946" s="1" t="s">
        <v>1297</v>
      </c>
      <c r="C946" s="1" t="s">
        <v>411</v>
      </c>
      <c r="D946" s="2" t="str">
        <f>HYPERLINK("https://inventaire.cncp.gouv.fr/fiches/649/","649")</f>
        <v>649</v>
      </c>
      <c r="E946" s="2" t="str">
        <f>HYPERLINK("http://www.intercariforef.org/formations/certification-84971.html","84971")</f>
        <v>84971</v>
      </c>
      <c r="F946" s="3">
        <v>42178</v>
      </c>
      <c r="G946" s="3">
        <v>42178</v>
      </c>
    </row>
    <row r="947" spans="1:7" x14ac:dyDescent="0.3">
      <c r="A947" s="1" t="s">
        <v>1136</v>
      </c>
      <c r="B947" s="1" t="s">
        <v>1298</v>
      </c>
      <c r="C947" s="1" t="s">
        <v>411</v>
      </c>
      <c r="D947" s="2" t="str">
        <f>HYPERLINK("https://inventaire.cncp.gouv.fr/fiches/671/","671")</f>
        <v>671</v>
      </c>
      <c r="E947" s="2" t="str">
        <f>HYPERLINK("http://www.intercariforef.org/formations/certification-84972.html","84972")</f>
        <v>84972</v>
      </c>
      <c r="F947" s="3">
        <v>42178</v>
      </c>
      <c r="G947" s="3">
        <v>42718</v>
      </c>
    </row>
    <row r="948" spans="1:7" x14ac:dyDescent="0.3">
      <c r="A948" s="1" t="s">
        <v>1136</v>
      </c>
      <c r="B948" s="1" t="s">
        <v>1299</v>
      </c>
      <c r="C948" s="1" t="s">
        <v>411</v>
      </c>
      <c r="D948" s="2" t="str">
        <f>HYPERLINK("https://inventaire.cncp.gouv.fr/fiches/775/","775")</f>
        <v>775</v>
      </c>
      <c r="E948" s="2" t="str">
        <f>HYPERLINK("http://www.intercariforef.org/formations/certification-85043.html","85043")</f>
        <v>85043</v>
      </c>
      <c r="F948" s="3">
        <v>42185</v>
      </c>
      <c r="G948" s="3">
        <v>42718</v>
      </c>
    </row>
    <row r="949" spans="1:7" x14ac:dyDescent="0.3">
      <c r="A949" s="1" t="s">
        <v>1136</v>
      </c>
      <c r="B949" s="1" t="s">
        <v>1300</v>
      </c>
      <c r="C949" s="1" t="s">
        <v>411</v>
      </c>
      <c r="D949" s="2" t="str">
        <f>HYPERLINK("https://inventaire.cncp.gouv.fr/fiches/683/","683")</f>
        <v>683</v>
      </c>
      <c r="E949" s="2" t="str">
        <f>HYPERLINK("http://www.intercariforef.org/formations/certification-84974.html","84974")</f>
        <v>84974</v>
      </c>
      <c r="F949" s="3">
        <v>42178</v>
      </c>
      <c r="G949" s="3">
        <v>42178</v>
      </c>
    </row>
    <row r="950" spans="1:7" ht="26.2" x14ac:dyDescent="0.3">
      <c r="A950" s="1" t="s">
        <v>1136</v>
      </c>
      <c r="B950" s="1" t="s">
        <v>1301</v>
      </c>
      <c r="C950" s="1" t="s">
        <v>411</v>
      </c>
      <c r="D950" s="2" t="str">
        <f>HYPERLINK("https://inventaire.cncp.gouv.fr/fiches/773/","773")</f>
        <v>773</v>
      </c>
      <c r="E950" s="2" t="str">
        <f>HYPERLINK("http://www.intercariforef.org/formations/certification-85044.html","85044")</f>
        <v>85044</v>
      </c>
      <c r="F950" s="3">
        <v>42185</v>
      </c>
      <c r="G950" s="3">
        <v>42718</v>
      </c>
    </row>
    <row r="951" spans="1:7" x14ac:dyDescent="0.3">
      <c r="A951" s="1" t="s">
        <v>1136</v>
      </c>
      <c r="B951" s="1" t="s">
        <v>1302</v>
      </c>
      <c r="C951" s="1" t="s">
        <v>411</v>
      </c>
      <c r="D951" s="2" t="str">
        <f>HYPERLINK("https://inventaire.cncp.gouv.fr/fiches/776/","776")</f>
        <v>776</v>
      </c>
      <c r="E951" s="2" t="str">
        <f>HYPERLINK("http://www.intercariforef.org/formations/certification-85037.html","85037")</f>
        <v>85037</v>
      </c>
      <c r="F951" s="3">
        <v>42185</v>
      </c>
      <c r="G951" s="3">
        <v>42185</v>
      </c>
    </row>
    <row r="952" spans="1:7" x14ac:dyDescent="0.3">
      <c r="A952" s="1" t="s">
        <v>1136</v>
      </c>
      <c r="B952" s="1" t="s">
        <v>1303</v>
      </c>
      <c r="C952" s="1" t="s">
        <v>1287</v>
      </c>
      <c r="D952" s="2" t="str">
        <f>HYPERLINK("https://inventaire.cncp.gouv.fr/fiches/2722/","2722")</f>
        <v>2722</v>
      </c>
      <c r="E952" s="2" t="str">
        <f>HYPERLINK("http://www.intercariforef.org/formations/certification-95441.html","95441")</f>
        <v>95441</v>
      </c>
      <c r="F952" s="3">
        <v>42884</v>
      </c>
      <c r="G952" s="3">
        <v>42884</v>
      </c>
    </row>
    <row r="953" spans="1:7" x14ac:dyDescent="0.3">
      <c r="A953" s="1" t="s">
        <v>1136</v>
      </c>
      <c r="B953" s="1" t="s">
        <v>1304</v>
      </c>
      <c r="C953" s="1" t="s">
        <v>1287</v>
      </c>
      <c r="D953" s="2" t="str">
        <f>HYPERLINK("https://inventaire.cncp.gouv.fr/fiches/2719/","2719")</f>
        <v>2719</v>
      </c>
      <c r="E953" s="2" t="str">
        <f>HYPERLINK("http://www.intercariforef.org/formations/certification-95445.html","95445")</f>
        <v>95445</v>
      </c>
      <c r="F953" s="3">
        <v>42884</v>
      </c>
      <c r="G953" s="3">
        <v>42884</v>
      </c>
    </row>
    <row r="954" spans="1:7" x14ac:dyDescent="0.3">
      <c r="A954" s="1" t="s">
        <v>1136</v>
      </c>
      <c r="B954" s="1" t="s">
        <v>1305</v>
      </c>
      <c r="C954" s="1" t="s">
        <v>1287</v>
      </c>
      <c r="D954" s="2" t="str">
        <f>HYPERLINK("https://inventaire.cncp.gouv.fr/fiches/2721/","2721")</f>
        <v>2721</v>
      </c>
      <c r="E954" s="2" t="str">
        <f>HYPERLINK("http://www.intercariforef.org/formations/certification-95443.html","95443")</f>
        <v>95443</v>
      </c>
      <c r="F954" s="3">
        <v>42884</v>
      </c>
      <c r="G954" s="3">
        <v>42884</v>
      </c>
    </row>
    <row r="955" spans="1:7" ht="26.2" x14ac:dyDescent="0.3">
      <c r="A955" s="1" t="s">
        <v>1136</v>
      </c>
      <c r="B955" s="1" t="s">
        <v>1306</v>
      </c>
      <c r="C955" s="1" t="s">
        <v>1287</v>
      </c>
      <c r="D955" s="2" t="str">
        <f>HYPERLINK("https://inventaire.cncp.gouv.fr/fiches/2724/","2724")</f>
        <v>2724</v>
      </c>
      <c r="E955" s="2" t="str">
        <f>HYPERLINK("http://www.intercariforef.org/formations/certification-95439.html","95439")</f>
        <v>95439</v>
      </c>
      <c r="F955" s="3">
        <v>42884</v>
      </c>
      <c r="G955" s="3">
        <v>42884</v>
      </c>
    </row>
    <row r="956" spans="1:7" x14ac:dyDescent="0.3">
      <c r="A956" s="1" t="s">
        <v>1136</v>
      </c>
      <c r="B956" s="1" t="s">
        <v>1307</v>
      </c>
      <c r="C956" s="1" t="s">
        <v>1287</v>
      </c>
      <c r="D956" s="2" t="str">
        <f>HYPERLINK("https://inventaire.cncp.gouv.fr/fiches/2726/","2726")</f>
        <v>2726</v>
      </c>
      <c r="E956" s="2" t="str">
        <f>HYPERLINK("http://www.intercariforef.org/formations/certification-95435.html","95435")</f>
        <v>95435</v>
      </c>
      <c r="F956" s="3">
        <v>42884</v>
      </c>
      <c r="G956" s="3">
        <v>42884</v>
      </c>
    </row>
    <row r="957" spans="1:7" x14ac:dyDescent="0.3">
      <c r="A957" s="1" t="s">
        <v>1136</v>
      </c>
      <c r="B957" s="1" t="s">
        <v>1308</v>
      </c>
      <c r="C957" s="1" t="s">
        <v>1287</v>
      </c>
      <c r="D957" s="2" t="str">
        <f>HYPERLINK("https://inventaire.cncp.gouv.fr/fiches/2718/","2718")</f>
        <v>2718</v>
      </c>
      <c r="E957" s="2" t="str">
        <f>HYPERLINK("http://www.intercariforef.org/formations/certification-95447.html","95447")</f>
        <v>95447</v>
      </c>
      <c r="F957" s="3">
        <v>42884</v>
      </c>
      <c r="G957" s="3">
        <v>42884</v>
      </c>
    </row>
    <row r="958" spans="1:7" x14ac:dyDescent="0.3">
      <c r="A958" s="1" t="s">
        <v>1136</v>
      </c>
      <c r="B958" s="1" t="s">
        <v>1309</v>
      </c>
      <c r="C958" s="1" t="s">
        <v>1310</v>
      </c>
      <c r="D958" s="2" t="str">
        <f>HYPERLINK("https://inventaire.cncp.gouv.fr/fiches/3604/","3604")</f>
        <v>3604</v>
      </c>
      <c r="E958" s="2" t="str">
        <f>HYPERLINK("http://www.intercariforef.org/formations/certification-102559.html","102559")</f>
        <v>102559</v>
      </c>
      <c r="F958" s="3">
        <v>43298</v>
      </c>
      <c r="G958" s="3">
        <v>43298</v>
      </c>
    </row>
    <row r="959" spans="1:7" ht="26.2" x14ac:dyDescent="0.3">
      <c r="A959" s="1" t="s">
        <v>1136</v>
      </c>
      <c r="B959" s="1" t="s">
        <v>1311</v>
      </c>
      <c r="C959" s="1" t="s">
        <v>1310</v>
      </c>
      <c r="D959" s="2" t="str">
        <f>HYPERLINK("https://inventaire.cncp.gouv.fr/fiches/3737/","3737")</f>
        <v>3737</v>
      </c>
      <c r="E959" s="2" t="str">
        <f>HYPERLINK("http://www.intercariforef.org/formations/certification-103929.html","103929")</f>
        <v>103929</v>
      </c>
      <c r="F959" s="3">
        <v>43390</v>
      </c>
      <c r="G959" s="3">
        <v>43390</v>
      </c>
    </row>
    <row r="960" spans="1:7" x14ac:dyDescent="0.3">
      <c r="A960" s="1" t="s">
        <v>1136</v>
      </c>
      <c r="B960" s="1" t="s">
        <v>1312</v>
      </c>
      <c r="C960" s="1" t="s">
        <v>1310</v>
      </c>
      <c r="D960" s="2" t="str">
        <f>HYPERLINK("https://inventaire.cncp.gouv.fr/fiches/333/","333")</f>
        <v>333</v>
      </c>
      <c r="E960" s="2" t="str">
        <f>HYPERLINK("http://www.intercariforef.org/formations/certification-84436.html","84436")</f>
        <v>84436</v>
      </c>
      <c r="F960" s="3">
        <v>42109</v>
      </c>
      <c r="G960" s="3">
        <v>42135</v>
      </c>
    </row>
    <row r="961" spans="1:7" x14ac:dyDescent="0.3">
      <c r="A961" s="1" t="s">
        <v>1136</v>
      </c>
      <c r="B961" s="1" t="s">
        <v>1313</v>
      </c>
      <c r="C961" s="1" t="s">
        <v>1310</v>
      </c>
      <c r="D961" s="2" t="str">
        <f>HYPERLINK("https://inventaire.cncp.gouv.fr/fiches/3744/","3744")</f>
        <v>3744</v>
      </c>
      <c r="E961" s="2" t="str">
        <f>HYPERLINK("http://www.intercariforef.org/formations/certification-103921.html","103921")</f>
        <v>103921</v>
      </c>
      <c r="F961" s="3">
        <v>43390</v>
      </c>
      <c r="G961" s="3">
        <v>43390</v>
      </c>
    </row>
    <row r="962" spans="1:7" x14ac:dyDescent="0.3">
      <c r="A962" s="1" t="s">
        <v>1136</v>
      </c>
      <c r="B962" s="1" t="s">
        <v>1314</v>
      </c>
      <c r="C962" s="1" t="s">
        <v>1310</v>
      </c>
      <c r="D962" s="2" t="str">
        <f>HYPERLINK("https://inventaire.cncp.gouv.fr/fiches/2158/","2158")</f>
        <v>2158</v>
      </c>
      <c r="E962" s="2" t="str">
        <f>HYPERLINK("http://www.intercariforef.org/formations/certification-100147.html","100147")</f>
        <v>100147</v>
      </c>
      <c r="F962" s="3">
        <v>43153</v>
      </c>
      <c r="G962" s="3">
        <v>43153</v>
      </c>
    </row>
    <row r="963" spans="1:7" ht="26.2" x14ac:dyDescent="0.3">
      <c r="A963" s="1" t="s">
        <v>1136</v>
      </c>
      <c r="B963" s="1" t="s">
        <v>1315</v>
      </c>
      <c r="C963" s="1" t="s">
        <v>1310</v>
      </c>
      <c r="D963" s="2" t="str">
        <f>HYPERLINK("https://inventaire.cncp.gouv.fr/fiches/2155/","2155")</f>
        <v>2155</v>
      </c>
      <c r="E963" s="2" t="str">
        <f>HYPERLINK("http://www.intercariforef.org/formations/certification-100721.html","100721")</f>
        <v>100721</v>
      </c>
      <c r="F963" s="3">
        <v>43199</v>
      </c>
      <c r="G963" s="3">
        <v>43199</v>
      </c>
    </row>
    <row r="964" spans="1:7" x14ac:dyDescent="0.3">
      <c r="A964" s="1" t="s">
        <v>1136</v>
      </c>
      <c r="B964" s="1" t="s">
        <v>1316</v>
      </c>
      <c r="C964" s="1" t="s">
        <v>1310</v>
      </c>
      <c r="D964" s="2" t="str">
        <f>HYPERLINK("https://inventaire.cncp.gouv.fr/fiches/1530/","1530")</f>
        <v>1530</v>
      </c>
      <c r="E964" s="2" t="str">
        <f>HYPERLINK("http://www.intercariforef.org/formations/certification-86349.html","86349")</f>
        <v>86349</v>
      </c>
      <c r="F964" s="3">
        <v>42340</v>
      </c>
      <c r="G964" s="3">
        <v>42340</v>
      </c>
    </row>
    <row r="965" spans="1:7" x14ac:dyDescent="0.3">
      <c r="A965" s="1" t="s">
        <v>1136</v>
      </c>
      <c r="B965" s="1" t="s">
        <v>1317</v>
      </c>
      <c r="C965" s="1" t="s">
        <v>1310</v>
      </c>
      <c r="D965" s="2" t="str">
        <f>HYPERLINK("https://inventaire.cncp.gouv.fr/fiches/3740/","3740")</f>
        <v>3740</v>
      </c>
      <c r="E965" s="2" t="str">
        <f>HYPERLINK("http://www.intercariforef.org/formations/certification-103927.html","103927")</f>
        <v>103927</v>
      </c>
      <c r="F965" s="3">
        <v>43390</v>
      </c>
      <c r="G965" s="3">
        <v>43390</v>
      </c>
    </row>
    <row r="966" spans="1:7" ht="26.2" x14ac:dyDescent="0.3">
      <c r="A966" s="1" t="s">
        <v>1136</v>
      </c>
      <c r="B966" s="1" t="s">
        <v>1318</v>
      </c>
      <c r="C966" s="1" t="s">
        <v>1310</v>
      </c>
      <c r="D966" s="2" t="str">
        <f>HYPERLINK("https://inventaire.cncp.gouv.fr/fiches/1262/","1262")</f>
        <v>1262</v>
      </c>
      <c r="E966" s="2" t="str">
        <f>HYPERLINK("http://www.intercariforef.org/formations/certification-88377.html","88377")</f>
        <v>88377</v>
      </c>
      <c r="F966" s="3">
        <v>42460</v>
      </c>
      <c r="G966" s="3">
        <v>42718</v>
      </c>
    </row>
    <row r="967" spans="1:7" x14ac:dyDescent="0.3">
      <c r="A967" s="1" t="s">
        <v>1136</v>
      </c>
      <c r="B967" s="1" t="s">
        <v>1319</v>
      </c>
      <c r="C967" s="1" t="s">
        <v>1310</v>
      </c>
      <c r="D967" s="2" t="str">
        <f>HYPERLINK("https://inventaire.cncp.gouv.fr/fiches/2106/","2106")</f>
        <v>2106</v>
      </c>
      <c r="E967" s="2" t="str">
        <f>HYPERLINK("http://www.intercariforef.org/formations/certification-100151.html","100151")</f>
        <v>100151</v>
      </c>
      <c r="F967" s="3">
        <v>43153</v>
      </c>
      <c r="G967" s="3">
        <v>43153</v>
      </c>
    </row>
    <row r="968" spans="1:7" x14ac:dyDescent="0.3">
      <c r="A968" s="1" t="s">
        <v>1136</v>
      </c>
      <c r="B968" s="1" t="s">
        <v>1320</v>
      </c>
      <c r="C968" s="1" t="s">
        <v>1310</v>
      </c>
      <c r="D968" s="2" t="str">
        <f>HYPERLINK("https://inventaire.cncp.gouv.fr/fiches/2099/","2099")</f>
        <v>2099</v>
      </c>
      <c r="E968" s="2" t="str">
        <f>HYPERLINK("http://www.intercariforef.org/formations/certification-100153.html","100153")</f>
        <v>100153</v>
      </c>
      <c r="F968" s="3">
        <v>43153</v>
      </c>
      <c r="G968" s="3">
        <v>43153</v>
      </c>
    </row>
    <row r="969" spans="1:7" x14ac:dyDescent="0.3">
      <c r="A969" s="1" t="s">
        <v>1136</v>
      </c>
      <c r="B969" s="1" t="s">
        <v>1321</v>
      </c>
      <c r="C969" s="1" t="s">
        <v>1310</v>
      </c>
      <c r="D969" s="2" t="str">
        <f>HYPERLINK("https://inventaire.cncp.gouv.fr/fiches/3607/","3607")</f>
        <v>3607</v>
      </c>
      <c r="E969" s="2" t="str">
        <f>HYPERLINK("http://www.intercariforef.org/formations/certification-102549.html","102549")</f>
        <v>102549</v>
      </c>
      <c r="F969" s="3">
        <v>43298</v>
      </c>
      <c r="G969" s="3">
        <v>43298</v>
      </c>
    </row>
    <row r="970" spans="1:7" x14ac:dyDescent="0.3">
      <c r="A970" s="1" t="s">
        <v>1136</v>
      </c>
      <c r="B970" s="1" t="s">
        <v>1322</v>
      </c>
      <c r="C970" s="1" t="s">
        <v>1310</v>
      </c>
      <c r="D970" s="2" t="str">
        <f>HYPERLINK("https://inventaire.cncp.gouv.fr/fiches/3603/","3603")</f>
        <v>3603</v>
      </c>
      <c r="E970" s="2" t="str">
        <f>HYPERLINK("http://www.intercariforef.org/formations/certification-104005.html","104005")</f>
        <v>104005</v>
      </c>
      <c r="F970" s="3">
        <v>43392</v>
      </c>
      <c r="G970" s="3">
        <v>43392</v>
      </c>
    </row>
    <row r="971" spans="1:7" x14ac:dyDescent="0.3">
      <c r="A971" s="1" t="s">
        <v>1136</v>
      </c>
      <c r="B971" s="1" t="s">
        <v>1323</v>
      </c>
      <c r="C971" s="1" t="s">
        <v>1310</v>
      </c>
      <c r="D971" s="2" t="str">
        <f>HYPERLINK("https://inventaire.cncp.gouv.fr/fiches/362/","362")</f>
        <v>362</v>
      </c>
      <c r="E971" s="2" t="str">
        <f>HYPERLINK("http://www.intercariforef.org/formations/certification-84430.html","84430")</f>
        <v>84430</v>
      </c>
      <c r="F971" s="3">
        <v>42109</v>
      </c>
      <c r="G971" s="3">
        <v>42135</v>
      </c>
    </row>
    <row r="972" spans="1:7" x14ac:dyDescent="0.3">
      <c r="A972" s="1" t="s">
        <v>1136</v>
      </c>
      <c r="B972" s="1" t="s">
        <v>1324</v>
      </c>
      <c r="C972" s="1" t="s">
        <v>1310</v>
      </c>
      <c r="D972" s="2" t="str">
        <f>HYPERLINK("https://inventaire.cncp.gouv.fr/fiches/2653/","2653")</f>
        <v>2653</v>
      </c>
      <c r="E972" s="2" t="str">
        <f>HYPERLINK("http://www.intercariforef.org/formations/certification-94985.html","94985")</f>
        <v>94985</v>
      </c>
      <c r="F972" s="3">
        <v>42838</v>
      </c>
      <c r="G972" s="3">
        <v>42838</v>
      </c>
    </row>
    <row r="973" spans="1:7" x14ac:dyDescent="0.3">
      <c r="A973" s="1" t="s">
        <v>1136</v>
      </c>
      <c r="B973" s="1" t="s">
        <v>1325</v>
      </c>
      <c r="C973" s="1" t="s">
        <v>1310</v>
      </c>
      <c r="D973" s="2" t="str">
        <f>HYPERLINK("https://inventaire.cncp.gouv.fr/fiches/3606/","3606")</f>
        <v>3606</v>
      </c>
      <c r="E973" s="2" t="str">
        <f>HYPERLINK("http://www.intercariforef.org/formations/certification-104003.html","104003")</f>
        <v>104003</v>
      </c>
      <c r="F973" s="3">
        <v>43392</v>
      </c>
      <c r="G973" s="3">
        <v>43392</v>
      </c>
    </row>
    <row r="974" spans="1:7" x14ac:dyDescent="0.3">
      <c r="A974" s="1" t="s">
        <v>1136</v>
      </c>
      <c r="B974" s="1" t="s">
        <v>1326</v>
      </c>
      <c r="C974" s="1" t="s">
        <v>1310</v>
      </c>
      <c r="D974" s="2" t="str">
        <f>HYPERLINK("https://inventaire.cncp.gouv.fr/fiches/3741/","3741")</f>
        <v>3741</v>
      </c>
      <c r="E974" s="2" t="str">
        <f>HYPERLINK("http://www.intercariforef.org/formations/certification-103925.html","103925")</f>
        <v>103925</v>
      </c>
      <c r="F974" s="3">
        <v>43390</v>
      </c>
      <c r="G974" s="3">
        <v>43390</v>
      </c>
    </row>
    <row r="975" spans="1:7" x14ac:dyDescent="0.3">
      <c r="A975" s="1" t="s">
        <v>1136</v>
      </c>
      <c r="B975" s="1" t="s">
        <v>1327</v>
      </c>
      <c r="C975" s="1" t="s">
        <v>1310</v>
      </c>
      <c r="D975" s="2" t="str">
        <f>HYPERLINK("https://inventaire.cncp.gouv.fr/fiches/2200/","2200")</f>
        <v>2200</v>
      </c>
      <c r="E975" s="2" t="str">
        <f>HYPERLINK("http://www.intercariforef.org/formations/certification-100719.html","100719")</f>
        <v>100719</v>
      </c>
      <c r="F975" s="3">
        <v>43199</v>
      </c>
      <c r="G975" s="3">
        <v>43199</v>
      </c>
    </row>
    <row r="976" spans="1:7" x14ac:dyDescent="0.3">
      <c r="A976" s="1" t="s">
        <v>1136</v>
      </c>
      <c r="B976" s="1" t="s">
        <v>1328</v>
      </c>
      <c r="C976" s="1" t="s">
        <v>1310</v>
      </c>
      <c r="D976" s="2" t="str">
        <f>HYPERLINK("https://inventaire.cncp.gouv.fr/fiches/2635/","2635")</f>
        <v>2635</v>
      </c>
      <c r="E976" s="2" t="str">
        <f>HYPERLINK("http://www.intercariforef.org/formations/certification-94989.html","94989")</f>
        <v>94989</v>
      </c>
      <c r="F976" s="3">
        <v>42838</v>
      </c>
      <c r="G976" s="3">
        <v>42838</v>
      </c>
    </row>
    <row r="977" spans="1:7" ht="26.2" x14ac:dyDescent="0.3">
      <c r="A977" s="1" t="s">
        <v>1136</v>
      </c>
      <c r="B977" s="1" t="s">
        <v>1329</v>
      </c>
      <c r="C977" s="1" t="s">
        <v>1310</v>
      </c>
      <c r="D977" s="2" t="str">
        <f>HYPERLINK("https://inventaire.cncp.gouv.fr/fiches/2654/","2654")</f>
        <v>2654</v>
      </c>
      <c r="E977" s="2" t="str">
        <f>HYPERLINK("http://www.intercariforef.org/formations/certification-94983.html","94983")</f>
        <v>94983</v>
      </c>
      <c r="F977" s="3">
        <v>42838</v>
      </c>
      <c r="G977" s="3">
        <v>42838</v>
      </c>
    </row>
    <row r="978" spans="1:7" x14ac:dyDescent="0.3">
      <c r="A978" s="1" t="s">
        <v>1136</v>
      </c>
      <c r="B978" s="1" t="s">
        <v>1330</v>
      </c>
      <c r="C978" s="1" t="s">
        <v>1310</v>
      </c>
      <c r="D978" s="2" t="str">
        <f>HYPERLINK("https://inventaire.cncp.gouv.fr/fiches/2651/","2651")</f>
        <v>2651</v>
      </c>
      <c r="E978" s="2" t="str">
        <f>HYPERLINK("http://www.intercariforef.org/formations/certification-94987.html","94987")</f>
        <v>94987</v>
      </c>
      <c r="F978" s="3">
        <v>42838</v>
      </c>
      <c r="G978" s="3">
        <v>42838</v>
      </c>
    </row>
    <row r="979" spans="1:7" x14ac:dyDescent="0.3">
      <c r="A979" s="1" t="s">
        <v>1136</v>
      </c>
      <c r="B979" s="1" t="s">
        <v>1331</v>
      </c>
      <c r="C979" s="1" t="s">
        <v>1310</v>
      </c>
      <c r="D979" s="2" t="str">
        <f>HYPERLINK("https://inventaire.cncp.gouv.fr/fiches/3742/","3742")</f>
        <v>3742</v>
      </c>
      <c r="E979" s="2" t="str">
        <f>HYPERLINK("http://www.intercariforef.org/formations/certification-103923.html","103923")</f>
        <v>103923</v>
      </c>
      <c r="F979" s="3">
        <v>43390</v>
      </c>
      <c r="G979" s="3">
        <v>43390</v>
      </c>
    </row>
    <row r="980" spans="1:7" x14ac:dyDescent="0.3">
      <c r="A980" s="1" t="s">
        <v>1136</v>
      </c>
      <c r="B980" s="1" t="s">
        <v>1332</v>
      </c>
      <c r="C980" s="1" t="s">
        <v>1310</v>
      </c>
      <c r="D980" s="2" t="str">
        <f>HYPERLINK("https://inventaire.cncp.gouv.fr/fiches/2116/","2116")</f>
        <v>2116</v>
      </c>
      <c r="E980" s="2" t="str">
        <f>HYPERLINK("http://www.intercariforef.org/formations/certification-100149.html","100149")</f>
        <v>100149</v>
      </c>
      <c r="F980" s="3">
        <v>43153</v>
      </c>
      <c r="G980" s="3">
        <v>43153</v>
      </c>
    </row>
    <row r="981" spans="1:7" ht="26.2" x14ac:dyDescent="0.3">
      <c r="A981" s="1" t="s">
        <v>1136</v>
      </c>
      <c r="B981" s="1" t="s">
        <v>1333</v>
      </c>
      <c r="C981" s="1" t="s">
        <v>1310</v>
      </c>
      <c r="D981" s="2" t="str">
        <f>HYPERLINK("https://inventaire.cncp.gouv.fr/fiches/2108/","2108")</f>
        <v>2108</v>
      </c>
      <c r="E981" s="2" t="str">
        <f>HYPERLINK("http://www.intercariforef.org/formations/certification-95007.html","95007")</f>
        <v>95007</v>
      </c>
      <c r="F981" s="3">
        <v>42838</v>
      </c>
      <c r="G981" s="3">
        <v>42838</v>
      </c>
    </row>
    <row r="982" spans="1:7" x14ac:dyDescent="0.3">
      <c r="A982" s="1" t="s">
        <v>1136</v>
      </c>
      <c r="B982" s="1" t="s">
        <v>1334</v>
      </c>
      <c r="C982" s="1" t="s">
        <v>1310</v>
      </c>
      <c r="D982" s="2" t="str">
        <f>HYPERLINK("https://inventaire.cncp.gouv.fr/fiches/3605/","3605")</f>
        <v>3605</v>
      </c>
      <c r="E982" s="2" t="str">
        <f>HYPERLINK("http://www.intercariforef.org/formations/certification-102557.html","102557")</f>
        <v>102557</v>
      </c>
      <c r="F982" s="3">
        <v>43298</v>
      </c>
      <c r="G982" s="3">
        <v>43298</v>
      </c>
    </row>
    <row r="983" spans="1:7" x14ac:dyDescent="0.3">
      <c r="A983" s="1" t="s">
        <v>1136</v>
      </c>
      <c r="B983" s="1" t="s">
        <v>1335</v>
      </c>
      <c r="C983" s="1" t="s">
        <v>1310</v>
      </c>
      <c r="D983" s="2" t="str">
        <f>HYPERLINK("https://inventaire.cncp.gouv.fr/fiches/3598/","3598")</f>
        <v>3598</v>
      </c>
      <c r="E983" s="2" t="str">
        <f>HYPERLINK("http://www.intercariforef.org/formations/certification-104007.html","104007")</f>
        <v>104007</v>
      </c>
      <c r="F983" s="3">
        <v>43392</v>
      </c>
      <c r="G983" s="3">
        <v>43392</v>
      </c>
    </row>
    <row r="984" spans="1:7" x14ac:dyDescent="0.3">
      <c r="A984" s="1" t="s">
        <v>1136</v>
      </c>
      <c r="B984" s="1" t="s">
        <v>1336</v>
      </c>
      <c r="C984" s="1" t="s">
        <v>1310</v>
      </c>
      <c r="D984" s="2" t="str">
        <f>HYPERLINK("https://inventaire.cncp.gouv.fr/fiches/3608/","3608")</f>
        <v>3608</v>
      </c>
      <c r="E984" s="2" t="str">
        <f>HYPERLINK("http://www.intercariforef.org/formations/certification-104001.html","104001")</f>
        <v>104001</v>
      </c>
      <c r="F984" s="3">
        <v>43392</v>
      </c>
      <c r="G984" s="3">
        <v>43392</v>
      </c>
    </row>
    <row r="985" spans="1:7" x14ac:dyDescent="0.3">
      <c r="A985" s="1" t="s">
        <v>1136</v>
      </c>
      <c r="B985" s="1" t="s">
        <v>1337</v>
      </c>
      <c r="C985" s="1" t="s">
        <v>1310</v>
      </c>
      <c r="D985" s="2" t="str">
        <f>HYPERLINK("https://inventaire.cncp.gouv.fr/fiches/368/","368")</f>
        <v>368</v>
      </c>
      <c r="E985" s="2" t="str">
        <f>HYPERLINK("http://www.intercariforef.org/formations/certification-84421.html","84421")</f>
        <v>84421</v>
      </c>
      <c r="F985" s="3">
        <v>42109</v>
      </c>
      <c r="G985" s="3">
        <v>42135</v>
      </c>
    </row>
    <row r="986" spans="1:7" ht="26.2" x14ac:dyDescent="0.3">
      <c r="A986" s="1" t="s">
        <v>1136</v>
      </c>
      <c r="B986" s="1" t="s">
        <v>1338</v>
      </c>
      <c r="C986" s="1" t="s">
        <v>1310</v>
      </c>
      <c r="D986" s="2" t="str">
        <f>HYPERLINK("https://inventaire.cncp.gouv.fr/fiches/364/","364")</f>
        <v>364</v>
      </c>
      <c r="E986" s="2" t="str">
        <f>HYPERLINK("http://www.intercariforef.org/formations/certification-84415.html","84415")</f>
        <v>84415</v>
      </c>
      <c r="F986" s="3">
        <v>42109</v>
      </c>
      <c r="G986" s="3">
        <v>42135</v>
      </c>
    </row>
    <row r="987" spans="1:7" x14ac:dyDescent="0.3">
      <c r="A987" s="1" t="s">
        <v>1136</v>
      </c>
      <c r="B987" s="1" t="s">
        <v>1339</v>
      </c>
      <c r="C987" s="1" t="s">
        <v>1310</v>
      </c>
      <c r="D987" s="4" t="s">
        <v>536</v>
      </c>
      <c r="E987" s="2" t="str">
        <f>HYPERLINK("http://www.intercariforef.org/formations/certification-84396.html","84396")</f>
        <v>84396</v>
      </c>
      <c r="F987" s="3">
        <v>42109</v>
      </c>
      <c r="G987" s="3">
        <v>42188</v>
      </c>
    </row>
    <row r="988" spans="1:7" x14ac:dyDescent="0.3">
      <c r="A988" s="1" t="s">
        <v>1136</v>
      </c>
      <c r="B988" s="1" t="s">
        <v>1340</v>
      </c>
      <c r="C988" s="1" t="s">
        <v>1310</v>
      </c>
      <c r="D988" s="4" t="s">
        <v>536</v>
      </c>
      <c r="E988" s="2" t="str">
        <f>HYPERLINK("http://www.intercariforef.org/formations/certification-84467.html","84467")</f>
        <v>84467</v>
      </c>
      <c r="F988" s="3">
        <v>42109</v>
      </c>
      <c r="G988" s="3">
        <v>42188</v>
      </c>
    </row>
    <row r="989" spans="1:7" x14ac:dyDescent="0.3">
      <c r="A989" s="1" t="s">
        <v>1136</v>
      </c>
      <c r="B989" s="1" t="s">
        <v>1341</v>
      </c>
      <c r="C989" s="1" t="s">
        <v>1310</v>
      </c>
      <c r="D989" s="4" t="s">
        <v>536</v>
      </c>
      <c r="E989" s="2" t="str">
        <f>HYPERLINK("http://www.intercariforef.org/formations/certification-84458.html","84458")</f>
        <v>84458</v>
      </c>
      <c r="F989" s="3">
        <v>42109</v>
      </c>
      <c r="G989" s="3">
        <v>42718</v>
      </c>
    </row>
    <row r="990" spans="1:7" x14ac:dyDescent="0.3">
      <c r="A990" s="1" t="s">
        <v>1136</v>
      </c>
      <c r="B990" s="1" t="s">
        <v>1342</v>
      </c>
      <c r="C990" s="1" t="s">
        <v>1310</v>
      </c>
      <c r="D990" s="2" t="str">
        <f>HYPERLINK("https://inventaire.cncp.gouv.fr/fiches/3990/","3990")</f>
        <v>3990</v>
      </c>
      <c r="E990" s="2" t="str">
        <f>HYPERLINK("http://www.intercariforef.org/formations/certification-84477.html","84477")</f>
        <v>84477</v>
      </c>
      <c r="F990" s="3">
        <v>42109</v>
      </c>
      <c r="G990" s="3">
        <v>43347</v>
      </c>
    </row>
    <row r="991" spans="1:7" ht="26.2" x14ac:dyDescent="0.3">
      <c r="A991" s="1" t="s">
        <v>1136</v>
      </c>
      <c r="B991" s="1" t="s">
        <v>1343</v>
      </c>
      <c r="C991" s="1" t="s">
        <v>1310</v>
      </c>
      <c r="D991" s="4" t="s">
        <v>536</v>
      </c>
      <c r="E991" s="2" t="str">
        <f>HYPERLINK("http://www.intercariforef.org/formations/certification-84472.html","84472")</f>
        <v>84472</v>
      </c>
      <c r="F991" s="3">
        <v>42109</v>
      </c>
      <c r="G991" s="3">
        <v>42718</v>
      </c>
    </row>
    <row r="992" spans="1:7" ht="26.2" x14ac:dyDescent="0.3">
      <c r="A992" s="1" t="s">
        <v>1136</v>
      </c>
      <c r="B992" s="1" t="s">
        <v>1344</v>
      </c>
      <c r="C992" s="1" t="s">
        <v>1310</v>
      </c>
      <c r="D992" s="2" t="str">
        <f>HYPERLINK("https://inventaire.cncp.gouv.fr/fiches/356/","356")</f>
        <v>356</v>
      </c>
      <c r="E992" s="2" t="str">
        <f>HYPERLINK("http://www.intercariforef.org/formations/certification-84443.html","84443")</f>
        <v>84443</v>
      </c>
      <c r="F992" s="3">
        <v>42109</v>
      </c>
      <c r="G992" s="3">
        <v>42135</v>
      </c>
    </row>
    <row r="993" spans="1:7" x14ac:dyDescent="0.3">
      <c r="A993" s="1" t="s">
        <v>1136</v>
      </c>
      <c r="B993" s="1" t="s">
        <v>1345</v>
      </c>
      <c r="C993" s="1" t="s">
        <v>1310</v>
      </c>
      <c r="D993" s="4" t="s">
        <v>536</v>
      </c>
      <c r="E993" s="2" t="str">
        <f>HYPERLINK("http://www.intercariforef.org/formations/certification-84465.html","84465")</f>
        <v>84465</v>
      </c>
      <c r="F993" s="3">
        <v>42109</v>
      </c>
      <c r="G993" s="3">
        <v>42718</v>
      </c>
    </row>
    <row r="994" spans="1:7" x14ac:dyDescent="0.3">
      <c r="A994" s="1" t="s">
        <v>1136</v>
      </c>
      <c r="B994" s="1" t="s">
        <v>1346</v>
      </c>
      <c r="C994" s="1" t="s">
        <v>1310</v>
      </c>
      <c r="D994" s="2" t="str">
        <f>HYPERLINK("https://inventaire.cncp.gouv.fr/fiches/353/","353")</f>
        <v>353</v>
      </c>
      <c r="E994" s="2" t="str">
        <f>HYPERLINK("http://www.intercariforef.org/formations/certification-84441.html","84441")</f>
        <v>84441</v>
      </c>
      <c r="F994" s="3">
        <v>42109</v>
      </c>
      <c r="G994" s="3">
        <v>42135</v>
      </c>
    </row>
    <row r="995" spans="1:7" x14ac:dyDescent="0.3">
      <c r="A995" s="1" t="s">
        <v>1136</v>
      </c>
      <c r="B995" s="1" t="s">
        <v>1347</v>
      </c>
      <c r="C995" s="1" t="s">
        <v>1310</v>
      </c>
      <c r="D995" s="4" t="s">
        <v>536</v>
      </c>
      <c r="E995" s="2" t="str">
        <f>HYPERLINK("http://www.intercariforef.org/formations/certification-84479.html","84479")</f>
        <v>84479</v>
      </c>
      <c r="F995" s="3">
        <v>42109</v>
      </c>
      <c r="G995" s="3">
        <v>42188</v>
      </c>
    </row>
    <row r="996" spans="1:7" x14ac:dyDescent="0.3">
      <c r="A996" s="1" t="s">
        <v>1136</v>
      </c>
      <c r="B996" s="1" t="s">
        <v>1348</v>
      </c>
      <c r="C996" s="1" t="s">
        <v>1310</v>
      </c>
      <c r="D996" s="4" t="s">
        <v>536</v>
      </c>
      <c r="E996" s="2" t="str">
        <f>HYPERLINK("http://www.intercariforef.org/formations/certification-84406.html","84406")</f>
        <v>84406</v>
      </c>
      <c r="F996" s="3">
        <v>42109</v>
      </c>
      <c r="G996" s="3">
        <v>42188</v>
      </c>
    </row>
    <row r="997" spans="1:7" ht="26.2" x14ac:dyDescent="0.3">
      <c r="A997" s="1" t="s">
        <v>1136</v>
      </c>
      <c r="B997" s="1" t="s">
        <v>1349</v>
      </c>
      <c r="C997" s="1" t="s">
        <v>1310</v>
      </c>
      <c r="D997" s="4" t="s">
        <v>536</v>
      </c>
      <c r="E997" s="2" t="str">
        <f>HYPERLINK("http://www.intercariforef.org/formations/certification-84470.html","84470")</f>
        <v>84470</v>
      </c>
      <c r="F997" s="3">
        <v>42109</v>
      </c>
      <c r="G997" s="3">
        <v>42188</v>
      </c>
    </row>
    <row r="998" spans="1:7" x14ac:dyDescent="0.3">
      <c r="A998" s="1" t="s">
        <v>1136</v>
      </c>
      <c r="B998" s="1" t="s">
        <v>1350</v>
      </c>
      <c r="C998" s="1" t="s">
        <v>1310</v>
      </c>
      <c r="D998" s="2" t="str">
        <f>HYPERLINK("https://inventaire.cncp.gouv.fr/fiches/3984/","3984")</f>
        <v>3984</v>
      </c>
      <c r="E998" s="2" t="str">
        <f>HYPERLINK("http://www.intercariforef.org/formations/certification-84471.html","84471")</f>
        <v>84471</v>
      </c>
      <c r="F998" s="3">
        <v>42109</v>
      </c>
      <c r="G998" s="3">
        <v>43347</v>
      </c>
    </row>
    <row r="999" spans="1:7" x14ac:dyDescent="0.3">
      <c r="A999" s="1" t="s">
        <v>1136</v>
      </c>
      <c r="B999" s="1" t="s">
        <v>1351</v>
      </c>
      <c r="C999" s="1" t="s">
        <v>1310</v>
      </c>
      <c r="D999" s="4" t="s">
        <v>536</v>
      </c>
      <c r="E999" s="2" t="str">
        <f>HYPERLINK("http://www.intercariforef.org/formations/certification-84457.html","84457")</f>
        <v>84457</v>
      </c>
      <c r="F999" s="3">
        <v>42109</v>
      </c>
      <c r="G999" s="3">
        <v>42188</v>
      </c>
    </row>
    <row r="1000" spans="1:7" ht="26.2" x14ac:dyDescent="0.3">
      <c r="A1000" s="1" t="s">
        <v>1136</v>
      </c>
      <c r="B1000" s="1" t="s">
        <v>1352</v>
      </c>
      <c r="C1000" s="1" t="s">
        <v>1310</v>
      </c>
      <c r="D1000" s="4" t="s">
        <v>536</v>
      </c>
      <c r="E1000" s="2" t="str">
        <f>HYPERLINK("http://www.intercariforef.org/formations/certification-84476.html","84476")</f>
        <v>84476</v>
      </c>
      <c r="F1000" s="3">
        <v>42109</v>
      </c>
      <c r="G1000" s="3">
        <v>42188</v>
      </c>
    </row>
    <row r="1001" spans="1:7" x14ac:dyDescent="0.3">
      <c r="A1001" s="1" t="s">
        <v>1136</v>
      </c>
      <c r="B1001" s="1" t="s">
        <v>1353</v>
      </c>
      <c r="C1001" s="1" t="s">
        <v>1310</v>
      </c>
      <c r="D1001" s="2" t="str">
        <f>HYPERLINK("https://inventaire.cncp.gouv.fr/fiches/3985/","3985")</f>
        <v>3985</v>
      </c>
      <c r="E1001" s="2" t="str">
        <f>HYPERLINK("http://www.intercariforef.org/formations/certification-84459.html","84459")</f>
        <v>84459</v>
      </c>
      <c r="F1001" s="3">
        <v>42109</v>
      </c>
      <c r="G1001" s="3">
        <v>43347</v>
      </c>
    </row>
    <row r="1002" spans="1:7" x14ac:dyDescent="0.3">
      <c r="A1002" s="1" t="s">
        <v>1136</v>
      </c>
      <c r="B1002" s="1" t="s">
        <v>1354</v>
      </c>
      <c r="C1002" s="1" t="s">
        <v>1310</v>
      </c>
      <c r="D1002" s="4" t="s">
        <v>536</v>
      </c>
      <c r="E1002" s="2" t="str">
        <f>HYPERLINK("http://www.intercariforef.org/formations/certification-84462.html","84462")</f>
        <v>84462</v>
      </c>
      <c r="F1002" s="3">
        <v>42109</v>
      </c>
      <c r="G1002" s="3">
        <v>42718</v>
      </c>
    </row>
    <row r="1003" spans="1:7" x14ac:dyDescent="0.3">
      <c r="A1003" s="1" t="s">
        <v>1136</v>
      </c>
      <c r="B1003" s="1" t="s">
        <v>1355</v>
      </c>
      <c r="C1003" s="1" t="s">
        <v>1310</v>
      </c>
      <c r="D1003" s="4" t="s">
        <v>536</v>
      </c>
      <c r="E1003" s="2" t="str">
        <f>HYPERLINK("http://www.intercariforef.org/formations/certification-84466.html","84466")</f>
        <v>84466</v>
      </c>
      <c r="F1003" s="3">
        <v>42109</v>
      </c>
      <c r="G1003" s="3">
        <v>42188</v>
      </c>
    </row>
    <row r="1004" spans="1:7" x14ac:dyDescent="0.3">
      <c r="A1004" s="1" t="s">
        <v>1136</v>
      </c>
      <c r="B1004" s="1" t="s">
        <v>1356</v>
      </c>
      <c r="C1004" s="1" t="s">
        <v>1310</v>
      </c>
      <c r="D1004" s="4" t="s">
        <v>536</v>
      </c>
      <c r="E1004" s="2" t="str">
        <f>HYPERLINK("http://www.intercariforef.org/formations/certification-84463.html","84463")</f>
        <v>84463</v>
      </c>
      <c r="F1004" s="3">
        <v>42109</v>
      </c>
      <c r="G1004" s="3">
        <v>42188</v>
      </c>
    </row>
    <row r="1005" spans="1:7" x14ac:dyDescent="0.3">
      <c r="A1005" s="1" t="s">
        <v>1136</v>
      </c>
      <c r="B1005" s="1" t="s">
        <v>1357</v>
      </c>
      <c r="C1005" s="1" t="s">
        <v>1310</v>
      </c>
      <c r="D1005" s="2" t="str">
        <f>HYPERLINK("https://inventaire.cncp.gouv.fr/fiches/3989/","3989")</f>
        <v>3989</v>
      </c>
      <c r="E1005" s="2" t="str">
        <f>HYPERLINK("http://www.intercariforef.org/formations/certification-84461.html","84461")</f>
        <v>84461</v>
      </c>
      <c r="F1005" s="3">
        <v>42109</v>
      </c>
      <c r="G1005" s="3">
        <v>43347</v>
      </c>
    </row>
    <row r="1006" spans="1:7" x14ac:dyDescent="0.3">
      <c r="A1006" s="1" t="s">
        <v>1136</v>
      </c>
      <c r="B1006" s="1" t="s">
        <v>1358</v>
      </c>
      <c r="C1006" s="1" t="s">
        <v>1310</v>
      </c>
      <c r="D1006" s="4" t="s">
        <v>536</v>
      </c>
      <c r="E1006" s="2" t="str">
        <f>HYPERLINK("http://www.intercariforef.org/formations/certification-84420.html","84420")</f>
        <v>84420</v>
      </c>
      <c r="F1006" s="3">
        <v>42109</v>
      </c>
      <c r="G1006" s="3">
        <v>42188</v>
      </c>
    </row>
    <row r="1007" spans="1:7" x14ac:dyDescent="0.3">
      <c r="A1007" s="1" t="s">
        <v>1136</v>
      </c>
      <c r="B1007" s="1" t="s">
        <v>1359</v>
      </c>
      <c r="C1007" s="1" t="s">
        <v>1310</v>
      </c>
      <c r="D1007" s="2" t="str">
        <f>HYPERLINK("https://inventaire.cncp.gouv.fr/fiches/360/","360")</f>
        <v>360</v>
      </c>
      <c r="E1007" s="2" t="str">
        <f>HYPERLINK("http://www.intercariforef.org/formations/certification-84428.html","84428")</f>
        <v>84428</v>
      </c>
      <c r="F1007" s="3">
        <v>42109</v>
      </c>
      <c r="G1007" s="3">
        <v>42135</v>
      </c>
    </row>
    <row r="1008" spans="1:7" x14ac:dyDescent="0.3">
      <c r="A1008" s="1" t="s">
        <v>1136</v>
      </c>
      <c r="B1008" s="1" t="s">
        <v>1360</v>
      </c>
      <c r="C1008" s="1" t="s">
        <v>1310</v>
      </c>
      <c r="D1008" s="4" t="s">
        <v>536</v>
      </c>
      <c r="E1008" s="2" t="str">
        <f>HYPERLINK("http://www.intercariforef.org/formations/certification-84450.html","84450")</f>
        <v>84450</v>
      </c>
      <c r="F1008" s="3">
        <v>42109</v>
      </c>
      <c r="G1008" s="3">
        <v>42188</v>
      </c>
    </row>
    <row r="1009" spans="1:7" x14ac:dyDescent="0.3">
      <c r="A1009" s="1" t="s">
        <v>1136</v>
      </c>
      <c r="B1009" s="1" t="s">
        <v>1361</v>
      </c>
      <c r="C1009" s="1" t="s">
        <v>1310</v>
      </c>
      <c r="D1009" s="2" t="str">
        <f>HYPERLINK("https://inventaire.cncp.gouv.fr/fiches/3983/","3983")</f>
        <v>3983</v>
      </c>
      <c r="E1009" s="2" t="str">
        <f>HYPERLINK("http://www.intercariforef.org/formations/certification-84474.html","84474")</f>
        <v>84474</v>
      </c>
      <c r="F1009" s="3">
        <v>42109</v>
      </c>
      <c r="G1009" s="3">
        <v>43347</v>
      </c>
    </row>
    <row r="1010" spans="1:7" x14ac:dyDescent="0.3">
      <c r="A1010" s="1" t="s">
        <v>1136</v>
      </c>
      <c r="B1010" s="1" t="s">
        <v>1362</v>
      </c>
      <c r="C1010" s="1" t="s">
        <v>1310</v>
      </c>
      <c r="D1010" s="2" t="str">
        <f>HYPERLINK("https://inventaire.cncp.gouv.fr/fiches/325/","325")</f>
        <v>325</v>
      </c>
      <c r="E1010" s="2" t="str">
        <f>HYPERLINK("http://www.intercariforef.org/formations/certification-84434.html","84434")</f>
        <v>84434</v>
      </c>
      <c r="F1010" s="3">
        <v>42109</v>
      </c>
      <c r="G1010" s="3">
        <v>42135</v>
      </c>
    </row>
    <row r="1011" spans="1:7" ht="26.2" x14ac:dyDescent="0.3">
      <c r="A1011" s="1" t="s">
        <v>1136</v>
      </c>
      <c r="B1011" s="1" t="s">
        <v>1363</v>
      </c>
      <c r="C1011" s="1" t="s">
        <v>1310</v>
      </c>
      <c r="D1011" s="4" t="s">
        <v>536</v>
      </c>
      <c r="E1011" s="2" t="str">
        <f>HYPERLINK("http://www.intercariforef.org/formations/certification-84468.html","84468")</f>
        <v>84468</v>
      </c>
      <c r="F1011" s="3">
        <v>42109</v>
      </c>
      <c r="G1011" s="3">
        <v>42718</v>
      </c>
    </row>
    <row r="1012" spans="1:7" x14ac:dyDescent="0.3">
      <c r="A1012" s="1" t="s">
        <v>1136</v>
      </c>
      <c r="B1012" s="1" t="s">
        <v>1364</v>
      </c>
      <c r="C1012" s="1" t="s">
        <v>1310</v>
      </c>
      <c r="D1012" s="4" t="s">
        <v>536</v>
      </c>
      <c r="E1012" s="2" t="str">
        <f>HYPERLINK("http://www.intercariforef.org/formations/certification-84452.html","84452")</f>
        <v>84452</v>
      </c>
      <c r="F1012" s="3">
        <v>42109</v>
      </c>
      <c r="G1012" s="3">
        <v>42188</v>
      </c>
    </row>
    <row r="1013" spans="1:7" ht="26.2" x14ac:dyDescent="0.3">
      <c r="A1013" s="1" t="s">
        <v>1136</v>
      </c>
      <c r="B1013" s="1" t="s">
        <v>1365</v>
      </c>
      <c r="C1013" s="1" t="s">
        <v>1310</v>
      </c>
      <c r="D1013" s="4" t="s">
        <v>536</v>
      </c>
      <c r="E1013" s="2" t="str">
        <f>HYPERLINK("http://www.intercariforef.org/formations/certification-84460.html","84460")</f>
        <v>84460</v>
      </c>
      <c r="F1013" s="3">
        <v>42109</v>
      </c>
      <c r="G1013" s="3">
        <v>42718</v>
      </c>
    </row>
    <row r="1014" spans="1:7" x14ac:dyDescent="0.3">
      <c r="A1014" s="1" t="s">
        <v>1136</v>
      </c>
      <c r="B1014" s="1" t="s">
        <v>1366</v>
      </c>
      <c r="C1014" s="1" t="s">
        <v>1310</v>
      </c>
      <c r="D1014" s="2" t="str">
        <f>HYPERLINK("https://inventaire.cncp.gouv.fr/fiches/357/","357")</f>
        <v>357</v>
      </c>
      <c r="E1014" s="2" t="str">
        <f>HYPERLINK("http://www.intercariforef.org/formations/certification-84447.html","84447")</f>
        <v>84447</v>
      </c>
      <c r="F1014" s="3">
        <v>42109</v>
      </c>
      <c r="G1014" s="3">
        <v>42135</v>
      </c>
    </row>
    <row r="1015" spans="1:7" ht="26.2" x14ac:dyDescent="0.3">
      <c r="A1015" s="1" t="s">
        <v>1136</v>
      </c>
      <c r="B1015" s="1" t="s">
        <v>1367</v>
      </c>
      <c r="C1015" s="1" t="s">
        <v>1310</v>
      </c>
      <c r="D1015" s="4" t="s">
        <v>536</v>
      </c>
      <c r="E1015" s="2" t="str">
        <f>HYPERLINK("http://www.intercariforef.org/formations/certification-84454.html","84454")</f>
        <v>84454</v>
      </c>
      <c r="F1015" s="3">
        <v>42109</v>
      </c>
      <c r="G1015" s="3">
        <v>42188</v>
      </c>
    </row>
    <row r="1016" spans="1:7" ht="26.2" x14ac:dyDescent="0.3">
      <c r="A1016" s="1" t="s">
        <v>1136</v>
      </c>
      <c r="B1016" s="1" t="s">
        <v>1368</v>
      </c>
      <c r="C1016" s="1" t="s">
        <v>1310</v>
      </c>
      <c r="D1016" s="4" t="s">
        <v>536</v>
      </c>
      <c r="E1016" s="2" t="str">
        <f>HYPERLINK("http://www.intercariforef.org/formations/certification-84475.html","84475")</f>
        <v>84475</v>
      </c>
      <c r="F1016" s="3">
        <v>42109</v>
      </c>
      <c r="G1016" s="3">
        <v>42188</v>
      </c>
    </row>
    <row r="1017" spans="1:7" x14ac:dyDescent="0.3">
      <c r="A1017" s="1" t="s">
        <v>1136</v>
      </c>
      <c r="B1017" s="1" t="s">
        <v>1369</v>
      </c>
      <c r="C1017" s="1" t="s">
        <v>1310</v>
      </c>
      <c r="D1017" s="2" t="str">
        <f>HYPERLINK("https://inventaire.cncp.gouv.fr/fiches/3988/","3988")</f>
        <v>3988</v>
      </c>
      <c r="E1017" s="2" t="str">
        <f>HYPERLINK("http://www.intercariforef.org/formations/certification-84478.html","84478")</f>
        <v>84478</v>
      </c>
      <c r="F1017" s="3">
        <v>42109</v>
      </c>
      <c r="G1017" s="3">
        <v>43347</v>
      </c>
    </row>
    <row r="1018" spans="1:7" x14ac:dyDescent="0.3">
      <c r="A1018" s="1" t="s">
        <v>1136</v>
      </c>
      <c r="B1018" s="1" t="s">
        <v>1370</v>
      </c>
      <c r="C1018" s="1" t="s">
        <v>1310</v>
      </c>
      <c r="D1018" s="2" t="str">
        <f>HYPERLINK("https://inventaire.cncp.gouv.fr/fiches/3987/","3987")</f>
        <v>3987</v>
      </c>
      <c r="E1018" s="2" t="str">
        <f>HYPERLINK("http://www.intercariforef.org/formations/certification-84473.html","84473")</f>
        <v>84473</v>
      </c>
      <c r="F1018" s="3">
        <v>42109</v>
      </c>
      <c r="G1018" s="3">
        <v>43347</v>
      </c>
    </row>
    <row r="1019" spans="1:7" x14ac:dyDescent="0.3">
      <c r="A1019" s="1" t="s">
        <v>1136</v>
      </c>
      <c r="B1019" s="1" t="s">
        <v>1371</v>
      </c>
      <c r="C1019" s="1" t="s">
        <v>1310</v>
      </c>
      <c r="D1019" s="4" t="s">
        <v>536</v>
      </c>
      <c r="E1019" s="2" t="str">
        <f>HYPERLINK("http://www.intercariforef.org/formations/certification-84455.html","84455")</f>
        <v>84455</v>
      </c>
      <c r="F1019" s="3">
        <v>42109</v>
      </c>
      <c r="G1019" s="3">
        <v>42718</v>
      </c>
    </row>
    <row r="1020" spans="1:7" x14ac:dyDescent="0.3">
      <c r="A1020" s="1" t="s">
        <v>1136</v>
      </c>
      <c r="B1020" s="1" t="s">
        <v>1372</v>
      </c>
      <c r="C1020" s="1" t="s">
        <v>1310</v>
      </c>
      <c r="D1020" s="4" t="s">
        <v>536</v>
      </c>
      <c r="E1020" s="2" t="str">
        <f>HYPERLINK("http://www.intercariforef.org/formations/certification-84432.html","84432")</f>
        <v>84432</v>
      </c>
      <c r="F1020" s="3">
        <v>42109</v>
      </c>
      <c r="G1020" s="3">
        <v>42188</v>
      </c>
    </row>
    <row r="1021" spans="1:7" x14ac:dyDescent="0.3">
      <c r="A1021" s="1" t="s">
        <v>1136</v>
      </c>
      <c r="B1021" s="1" t="s">
        <v>1373</v>
      </c>
      <c r="C1021" s="1" t="s">
        <v>1310</v>
      </c>
      <c r="D1021" s="4" t="s">
        <v>536</v>
      </c>
      <c r="E1021" s="2" t="str">
        <f>HYPERLINK("http://www.intercariforef.org/formations/certification-84423.html","84423")</f>
        <v>84423</v>
      </c>
      <c r="F1021" s="3">
        <v>42109</v>
      </c>
      <c r="G1021" s="3">
        <v>42188</v>
      </c>
    </row>
    <row r="1022" spans="1:7" x14ac:dyDescent="0.3">
      <c r="A1022" s="1" t="s">
        <v>1136</v>
      </c>
      <c r="B1022" s="1" t="s">
        <v>1374</v>
      </c>
      <c r="C1022" s="1" t="s">
        <v>1310</v>
      </c>
      <c r="D1022" s="4" t="s">
        <v>536</v>
      </c>
      <c r="E1022" s="2" t="str">
        <f>HYPERLINK("http://www.intercariforef.org/formations/certification-84416.html","84416")</f>
        <v>84416</v>
      </c>
      <c r="F1022" s="3">
        <v>42109</v>
      </c>
      <c r="G1022" s="3">
        <v>42188</v>
      </c>
    </row>
    <row r="1023" spans="1:7" x14ac:dyDescent="0.3">
      <c r="A1023" s="1" t="s">
        <v>1136</v>
      </c>
      <c r="B1023" s="1" t="s">
        <v>1375</v>
      </c>
      <c r="C1023" s="1" t="s">
        <v>1310</v>
      </c>
      <c r="D1023" s="4" t="s">
        <v>536</v>
      </c>
      <c r="E1023" s="2" t="str">
        <f>HYPERLINK("http://www.intercariforef.org/formations/certification-84419.html","84419")</f>
        <v>84419</v>
      </c>
      <c r="F1023" s="3">
        <v>42109</v>
      </c>
      <c r="G1023" s="3">
        <v>42188</v>
      </c>
    </row>
    <row r="1024" spans="1:7" x14ac:dyDescent="0.3">
      <c r="A1024" s="1" t="s">
        <v>1136</v>
      </c>
      <c r="B1024" s="1" t="s">
        <v>1376</v>
      </c>
      <c r="C1024" s="1" t="s">
        <v>1310</v>
      </c>
      <c r="D1024" s="4" t="s">
        <v>536</v>
      </c>
      <c r="E1024" s="2" t="str">
        <f>HYPERLINK("http://www.intercariforef.org/formations/certification-84403.html","84403")</f>
        <v>84403</v>
      </c>
      <c r="F1024" s="3">
        <v>42109</v>
      </c>
      <c r="G1024" s="3">
        <v>42188</v>
      </c>
    </row>
    <row r="1025" spans="1:7" x14ac:dyDescent="0.3">
      <c r="A1025" s="1" t="s">
        <v>1136</v>
      </c>
      <c r="B1025" s="1" t="s">
        <v>1377</v>
      </c>
      <c r="C1025" s="1" t="s">
        <v>1310</v>
      </c>
      <c r="D1025" s="4" t="s">
        <v>536</v>
      </c>
      <c r="E1025" s="2" t="str">
        <f>HYPERLINK("http://www.intercariforef.org/formations/certification-84480.html","84480")</f>
        <v>84480</v>
      </c>
      <c r="F1025" s="3">
        <v>42109</v>
      </c>
      <c r="G1025" s="3">
        <v>42188</v>
      </c>
    </row>
    <row r="1026" spans="1:7" x14ac:dyDescent="0.3">
      <c r="A1026" s="1" t="s">
        <v>1136</v>
      </c>
      <c r="B1026" s="1" t="s">
        <v>1378</v>
      </c>
      <c r="C1026" s="1" t="s">
        <v>1310</v>
      </c>
      <c r="D1026" s="4" t="s">
        <v>536</v>
      </c>
      <c r="E1026" s="2" t="str">
        <f>HYPERLINK("http://www.intercariforef.org/formations/certification-84469.html","84469")</f>
        <v>84469</v>
      </c>
      <c r="F1026" s="3">
        <v>42109</v>
      </c>
      <c r="G1026" s="3">
        <v>42188</v>
      </c>
    </row>
    <row r="1027" spans="1:7" x14ac:dyDescent="0.3">
      <c r="A1027" s="1" t="s">
        <v>1136</v>
      </c>
      <c r="B1027" s="1" t="s">
        <v>1379</v>
      </c>
      <c r="C1027" s="1" t="s">
        <v>1310</v>
      </c>
      <c r="D1027" s="4" t="s">
        <v>536</v>
      </c>
      <c r="E1027" s="2" t="str">
        <f>HYPERLINK("http://www.intercariforef.org/formations/certification-84453.html","84453")</f>
        <v>84453</v>
      </c>
      <c r="F1027" s="3">
        <v>42109</v>
      </c>
      <c r="G1027" s="3">
        <v>42188</v>
      </c>
    </row>
    <row r="1028" spans="1:7" x14ac:dyDescent="0.3">
      <c r="A1028" s="1" t="s">
        <v>1136</v>
      </c>
      <c r="B1028" s="1" t="s">
        <v>1380</v>
      </c>
      <c r="C1028" s="1" t="s">
        <v>1381</v>
      </c>
      <c r="D1028" s="2" t="str">
        <f>HYPERLINK("https://inventaire.cncp.gouv.fr/fiches/2421/","2421")</f>
        <v>2421</v>
      </c>
      <c r="E1028" s="2" t="str">
        <f>HYPERLINK("http://www.intercariforef.org/formations/certification-94959.html","94959")</f>
        <v>94959</v>
      </c>
      <c r="F1028" s="3">
        <v>42838</v>
      </c>
      <c r="G1028" s="3">
        <v>42838</v>
      </c>
    </row>
    <row r="1029" spans="1:7" x14ac:dyDescent="0.3">
      <c r="A1029" s="1" t="s">
        <v>1136</v>
      </c>
      <c r="B1029" s="1" t="s">
        <v>1382</v>
      </c>
      <c r="C1029" s="1" t="s">
        <v>1381</v>
      </c>
      <c r="D1029" s="2" t="str">
        <f>HYPERLINK("https://inventaire.cncp.gouv.fr/fiches/2418/","2418")</f>
        <v>2418</v>
      </c>
      <c r="E1029" s="2" t="str">
        <f>HYPERLINK("http://www.intercariforef.org/formations/certification-94961.html","94961")</f>
        <v>94961</v>
      </c>
      <c r="F1029" s="3">
        <v>42838</v>
      </c>
      <c r="G1029" s="3">
        <v>42838</v>
      </c>
    </row>
    <row r="1030" spans="1:7" x14ac:dyDescent="0.3">
      <c r="A1030" s="1" t="s">
        <v>1136</v>
      </c>
      <c r="B1030" s="1" t="s">
        <v>1383</v>
      </c>
      <c r="C1030" s="1" t="s">
        <v>1381</v>
      </c>
      <c r="D1030" s="2" t="str">
        <f>HYPERLINK("https://inventaire.cncp.gouv.fr/fiches/2422/","2422")</f>
        <v>2422</v>
      </c>
      <c r="E1030" s="2" t="str">
        <f>HYPERLINK("http://www.intercariforef.org/formations/certification-94957.html","94957")</f>
        <v>94957</v>
      </c>
      <c r="F1030" s="3">
        <v>42838</v>
      </c>
      <c r="G1030" s="3">
        <v>42838</v>
      </c>
    </row>
    <row r="1031" spans="1:7" x14ac:dyDescent="0.3">
      <c r="A1031" s="1" t="s">
        <v>1136</v>
      </c>
      <c r="B1031" s="1" t="s">
        <v>1384</v>
      </c>
      <c r="C1031" s="1" t="s">
        <v>842</v>
      </c>
      <c r="D1031" s="2" t="str">
        <f>HYPERLINK("https://inventaire.cncp.gouv.fr/fiches/3717/","3717")</f>
        <v>3717</v>
      </c>
      <c r="E1031" s="2" t="str">
        <f>HYPERLINK("http://www.intercariforef.org/formations/certification-103961.html","103961")</f>
        <v>103961</v>
      </c>
      <c r="F1031" s="3">
        <v>43391</v>
      </c>
      <c r="G1031" s="3">
        <v>43391</v>
      </c>
    </row>
    <row r="1032" spans="1:7" x14ac:dyDescent="0.3">
      <c r="A1032" s="1" t="s">
        <v>1136</v>
      </c>
      <c r="B1032" s="1" t="s">
        <v>1385</v>
      </c>
      <c r="C1032" s="1" t="s">
        <v>842</v>
      </c>
      <c r="D1032" s="2" t="str">
        <f>HYPERLINK("https://inventaire.cncp.gouv.fr/fiches/1802/","1802")</f>
        <v>1802</v>
      </c>
      <c r="E1032" s="2" t="str">
        <f>HYPERLINK("http://www.intercariforef.org/formations/certification-104053.html","104053")</f>
        <v>104053</v>
      </c>
      <c r="F1032" s="3">
        <v>43392</v>
      </c>
      <c r="G1032" s="3">
        <v>43392</v>
      </c>
    </row>
    <row r="1033" spans="1:7" x14ac:dyDescent="0.3">
      <c r="A1033" s="1" t="s">
        <v>1136</v>
      </c>
      <c r="B1033" s="1" t="s">
        <v>1386</v>
      </c>
      <c r="C1033" s="1" t="s">
        <v>842</v>
      </c>
      <c r="D1033" s="2" t="str">
        <f>HYPERLINK("https://inventaire.cncp.gouv.fr/fiches/3203/","3203")</f>
        <v>3203</v>
      </c>
      <c r="E1033" s="2" t="str">
        <f>HYPERLINK("http://www.intercariforef.org/formations/certification-104041.html","104041")</f>
        <v>104041</v>
      </c>
      <c r="F1033" s="3">
        <v>43392</v>
      </c>
      <c r="G1033" s="3">
        <v>43392</v>
      </c>
    </row>
    <row r="1034" spans="1:7" x14ac:dyDescent="0.3">
      <c r="A1034" s="1" t="s">
        <v>1136</v>
      </c>
      <c r="B1034" s="1" t="s">
        <v>1387</v>
      </c>
      <c r="C1034" s="1" t="s">
        <v>842</v>
      </c>
      <c r="D1034" s="2" t="str">
        <f>HYPERLINK("https://inventaire.cncp.gouv.fr/fiches/3716/","3716")</f>
        <v>3716</v>
      </c>
      <c r="E1034" s="2" t="str">
        <f>HYPERLINK("http://www.intercariforef.org/formations/certification-103963.html","103963")</f>
        <v>103963</v>
      </c>
      <c r="F1034" s="3">
        <v>43391</v>
      </c>
      <c r="G1034" s="3">
        <v>43391</v>
      </c>
    </row>
    <row r="1035" spans="1:7" x14ac:dyDescent="0.3">
      <c r="A1035" s="1" t="s">
        <v>1136</v>
      </c>
      <c r="B1035" s="1" t="s">
        <v>1388</v>
      </c>
      <c r="C1035" s="1" t="s">
        <v>842</v>
      </c>
      <c r="D1035" s="2" t="str">
        <f>HYPERLINK("https://inventaire.cncp.gouv.fr/fiches/1804/","1804")</f>
        <v>1804</v>
      </c>
      <c r="E1035" s="2" t="str">
        <f>HYPERLINK("http://www.intercariforef.org/formations/certification-104049.html","104049")</f>
        <v>104049</v>
      </c>
      <c r="F1035" s="3">
        <v>43392</v>
      </c>
      <c r="G1035" s="3">
        <v>43392</v>
      </c>
    </row>
    <row r="1036" spans="1:7" x14ac:dyDescent="0.3">
      <c r="A1036" s="1" t="s">
        <v>1136</v>
      </c>
      <c r="B1036" s="1" t="s">
        <v>1389</v>
      </c>
      <c r="C1036" s="1" t="s">
        <v>842</v>
      </c>
      <c r="D1036" s="2" t="str">
        <f>HYPERLINK("https://inventaire.cncp.gouv.fr/fiches/3204/","3204")</f>
        <v>3204</v>
      </c>
      <c r="E1036" s="2" t="str">
        <f>HYPERLINK("http://www.intercariforef.org/formations/certification-104039.html","104039")</f>
        <v>104039</v>
      </c>
      <c r="F1036" s="3">
        <v>43392</v>
      </c>
      <c r="G1036" s="3">
        <v>43392</v>
      </c>
    </row>
    <row r="1037" spans="1:7" x14ac:dyDescent="0.3">
      <c r="A1037" s="1" t="s">
        <v>1136</v>
      </c>
      <c r="B1037" s="1" t="s">
        <v>1390</v>
      </c>
      <c r="C1037" s="1" t="s">
        <v>842</v>
      </c>
      <c r="D1037" s="2" t="str">
        <f>HYPERLINK("https://inventaire.cncp.gouv.fr/fiches/1803/","1803")</f>
        <v>1803</v>
      </c>
      <c r="E1037" s="2" t="str">
        <f>HYPERLINK("http://www.intercariforef.org/formations/certification-104051.html","104051")</f>
        <v>104051</v>
      </c>
      <c r="F1037" s="3">
        <v>43392</v>
      </c>
      <c r="G1037" s="3">
        <v>43392</v>
      </c>
    </row>
    <row r="1038" spans="1:7" x14ac:dyDescent="0.3">
      <c r="A1038" s="1" t="s">
        <v>1136</v>
      </c>
      <c r="B1038" s="1" t="s">
        <v>1391</v>
      </c>
      <c r="C1038" s="1" t="s">
        <v>842</v>
      </c>
      <c r="D1038" s="2" t="str">
        <f>HYPERLINK("https://inventaire.cncp.gouv.fr/fiches/3177/","3177")</f>
        <v>3177</v>
      </c>
      <c r="E1038" s="2" t="str">
        <f>HYPERLINK("http://www.intercariforef.org/formations/certification-104047.html","104047")</f>
        <v>104047</v>
      </c>
      <c r="F1038" s="3">
        <v>43392</v>
      </c>
      <c r="G1038" s="3">
        <v>43392</v>
      </c>
    </row>
    <row r="1039" spans="1:7" x14ac:dyDescent="0.3">
      <c r="A1039" s="1" t="s">
        <v>1136</v>
      </c>
      <c r="B1039" s="1" t="s">
        <v>1392</v>
      </c>
      <c r="C1039" s="1" t="s">
        <v>842</v>
      </c>
      <c r="D1039" s="2" t="str">
        <f>HYPERLINK("https://inventaire.cncp.gouv.fr/fiches/3675/","3675")</f>
        <v>3675</v>
      </c>
      <c r="E1039" s="2" t="str">
        <f>HYPERLINK("http://www.intercariforef.org/formations/certification-103997.html","103997")</f>
        <v>103997</v>
      </c>
      <c r="F1039" s="3">
        <v>43392</v>
      </c>
      <c r="G1039" s="3">
        <v>43392</v>
      </c>
    </row>
    <row r="1040" spans="1:7" x14ac:dyDescent="0.3">
      <c r="A1040" s="1" t="s">
        <v>1136</v>
      </c>
      <c r="B1040" s="1" t="s">
        <v>1393</v>
      </c>
      <c r="C1040" s="1" t="s">
        <v>842</v>
      </c>
      <c r="D1040" s="2" t="str">
        <f>HYPERLINK("https://inventaire.cncp.gouv.fr/fiches/3211/","3211")</f>
        <v>3211</v>
      </c>
      <c r="E1040" s="2" t="str">
        <f>HYPERLINK("http://www.intercariforef.org/formations/certification-104035.html","104035")</f>
        <v>104035</v>
      </c>
      <c r="F1040" s="3">
        <v>43392</v>
      </c>
      <c r="G1040" s="3">
        <v>43392</v>
      </c>
    </row>
    <row r="1041" spans="1:7" x14ac:dyDescent="0.3">
      <c r="A1041" s="1" t="s">
        <v>1136</v>
      </c>
      <c r="B1041" s="1" t="s">
        <v>1394</v>
      </c>
      <c r="C1041" s="1" t="s">
        <v>1395</v>
      </c>
      <c r="D1041" s="2" t="str">
        <f>HYPERLINK("https://inventaire.cncp.gouv.fr/fiches/2069/","2069")</f>
        <v>2069</v>
      </c>
      <c r="E1041" s="2" t="str">
        <f>HYPERLINK("http://www.intercariforef.org/formations/certification-92155.html","92155")</f>
        <v>92155</v>
      </c>
      <c r="F1041" s="3">
        <v>42667</v>
      </c>
      <c r="G1041" s="3">
        <v>42718</v>
      </c>
    </row>
    <row r="1042" spans="1:7" x14ac:dyDescent="0.3">
      <c r="A1042" s="1" t="s">
        <v>1136</v>
      </c>
      <c r="B1042" s="1" t="s">
        <v>1396</v>
      </c>
      <c r="C1042" s="1" t="s">
        <v>1395</v>
      </c>
      <c r="D1042" s="2" t="str">
        <f>HYPERLINK("https://inventaire.cncp.gouv.fr/fiches/1994/","1994")</f>
        <v>1994</v>
      </c>
      <c r="E1042" s="2" t="str">
        <f>HYPERLINK("http://www.intercariforef.org/formations/certification-92107.html","92107")</f>
        <v>92107</v>
      </c>
      <c r="F1042" s="3">
        <v>42667</v>
      </c>
      <c r="G1042" s="3">
        <v>42718</v>
      </c>
    </row>
    <row r="1043" spans="1:7" x14ac:dyDescent="0.3">
      <c r="A1043" s="1" t="s">
        <v>1136</v>
      </c>
      <c r="B1043" s="1" t="s">
        <v>1397</v>
      </c>
      <c r="C1043" s="1" t="s">
        <v>1398</v>
      </c>
      <c r="D1043" s="2" t="str">
        <f>HYPERLINK("https://inventaire.cncp.gouv.fr/fiches/3972/","3972")</f>
        <v>3972</v>
      </c>
      <c r="E1043" s="2" t="str">
        <f>HYPERLINK("http://www.intercariforef.org/formations/certification-104109.html","104109")</f>
        <v>104109</v>
      </c>
      <c r="F1043" s="3">
        <v>43398</v>
      </c>
      <c r="G1043" s="3">
        <v>43398</v>
      </c>
    </row>
    <row r="1044" spans="1:7" x14ac:dyDescent="0.3">
      <c r="A1044" s="1" t="s">
        <v>1136</v>
      </c>
      <c r="B1044" s="1" t="s">
        <v>1399</v>
      </c>
      <c r="C1044" s="1" t="s">
        <v>1400</v>
      </c>
      <c r="D1044" s="2" t="str">
        <f>HYPERLINK("https://inventaire.cncp.gouv.fr/fiches/2602/","2602")</f>
        <v>2602</v>
      </c>
      <c r="E1044" s="2" t="str">
        <f>HYPERLINK("http://www.intercariforef.org/formations/certification-96619.html","96619")</f>
        <v>96619</v>
      </c>
      <c r="F1044" s="3">
        <v>42929</v>
      </c>
      <c r="G1044" s="3">
        <v>42929</v>
      </c>
    </row>
    <row r="1045" spans="1:7" x14ac:dyDescent="0.3">
      <c r="A1045" s="1" t="s">
        <v>1136</v>
      </c>
      <c r="B1045" s="1" t="s">
        <v>1401</v>
      </c>
      <c r="C1045" s="1" t="s">
        <v>1400</v>
      </c>
      <c r="D1045" s="2" t="str">
        <f>HYPERLINK("https://inventaire.cncp.gouv.fr/fiches/2582/","2582")</f>
        <v>2582</v>
      </c>
      <c r="E1045" s="2" t="str">
        <f>HYPERLINK("http://www.intercariforef.org/formations/certification-95657.html","95657")</f>
        <v>95657</v>
      </c>
      <c r="F1045" s="3">
        <v>42893</v>
      </c>
      <c r="G1045" s="3">
        <v>42893</v>
      </c>
    </row>
    <row r="1046" spans="1:7" x14ac:dyDescent="0.3">
      <c r="A1046" s="1" t="s">
        <v>1136</v>
      </c>
      <c r="B1046" s="1" t="s">
        <v>1402</v>
      </c>
      <c r="C1046" s="1" t="s">
        <v>1403</v>
      </c>
      <c r="D1046" s="2" t="str">
        <f>HYPERLINK("https://inventaire.cncp.gouv.fr/fiches/2747/","2747")</f>
        <v>2747</v>
      </c>
      <c r="E1046" s="2" t="str">
        <f>HYPERLINK("http://www.intercariforef.org/formations/certification-96575.html","96575")</f>
        <v>96575</v>
      </c>
      <c r="F1046" s="3">
        <v>42928</v>
      </c>
      <c r="G1046" s="3">
        <v>42928</v>
      </c>
    </row>
    <row r="1047" spans="1:7" ht="26.2" x14ac:dyDescent="0.3">
      <c r="A1047" s="1" t="s">
        <v>1136</v>
      </c>
      <c r="B1047" s="1" t="s">
        <v>1404</v>
      </c>
      <c r="C1047" s="1" t="s">
        <v>1405</v>
      </c>
      <c r="D1047" s="2" t="str">
        <f>HYPERLINK("https://inventaire.cncp.gouv.fr/fiches/3547/","3547")</f>
        <v>3547</v>
      </c>
      <c r="E1047" s="2" t="str">
        <f>HYPERLINK("http://www.intercariforef.org/formations/certification-100535.html","100535")</f>
        <v>100535</v>
      </c>
      <c r="F1047" s="3">
        <v>43187</v>
      </c>
      <c r="G1047" s="3">
        <v>43187</v>
      </c>
    </row>
    <row r="1048" spans="1:7" ht="26.2" x14ac:dyDescent="0.3">
      <c r="A1048" s="1" t="s">
        <v>1136</v>
      </c>
      <c r="B1048" s="1" t="s">
        <v>1406</v>
      </c>
      <c r="C1048" s="1" t="s">
        <v>1405</v>
      </c>
      <c r="D1048" s="2" t="str">
        <f>HYPERLINK("https://inventaire.cncp.gouv.fr/fiches/3082/","3082")</f>
        <v>3082</v>
      </c>
      <c r="E1048" s="2" t="str">
        <f>HYPERLINK("http://www.intercariforef.org/formations/certification-100727.html","100727")</f>
        <v>100727</v>
      </c>
      <c r="F1048" s="3">
        <v>43200</v>
      </c>
      <c r="G1048" s="3">
        <v>43200</v>
      </c>
    </row>
    <row r="1049" spans="1:7" x14ac:dyDescent="0.3">
      <c r="A1049" s="1" t="s">
        <v>1136</v>
      </c>
      <c r="B1049" s="1" t="s">
        <v>1407</v>
      </c>
      <c r="C1049" s="1" t="s">
        <v>1408</v>
      </c>
      <c r="D1049" s="2" t="str">
        <f>HYPERLINK("https://inventaire.cncp.gouv.fr/fiches/2447/","2447")</f>
        <v>2447</v>
      </c>
      <c r="E1049" s="2" t="str">
        <f>HYPERLINK("http://www.intercariforef.org/formations/certification-97511.html","97511")</f>
        <v>97511</v>
      </c>
      <c r="F1049" s="3">
        <v>43003</v>
      </c>
      <c r="G1049" s="3">
        <v>43003</v>
      </c>
    </row>
    <row r="1050" spans="1:7" x14ac:dyDescent="0.3">
      <c r="A1050" s="1" t="s">
        <v>1136</v>
      </c>
      <c r="B1050" s="1" t="s">
        <v>1409</v>
      </c>
      <c r="C1050" s="1" t="s">
        <v>1410</v>
      </c>
      <c r="D1050" s="2" t="str">
        <f>HYPERLINK("https://inventaire.cncp.gouv.fr/fiches/69/","69")</f>
        <v>69</v>
      </c>
      <c r="E1050" s="2" t="str">
        <f>HYPERLINK("http://www.intercariforef.org/formations/certification-84979.html","84979")</f>
        <v>84979</v>
      </c>
      <c r="F1050" s="3">
        <v>42178</v>
      </c>
      <c r="G1050" s="3">
        <v>42718</v>
      </c>
    </row>
    <row r="1051" spans="1:7" x14ac:dyDescent="0.3">
      <c r="A1051" s="1" t="s">
        <v>1136</v>
      </c>
      <c r="B1051" s="1" t="s">
        <v>1411</v>
      </c>
      <c r="C1051" s="1" t="s">
        <v>1410</v>
      </c>
      <c r="D1051" s="2" t="str">
        <f>HYPERLINK("https://inventaire.cncp.gouv.fr/fiches/94/","94")</f>
        <v>94</v>
      </c>
      <c r="E1051" s="2" t="str">
        <f>HYPERLINK("http://www.intercariforef.org/formations/certification-84980.html","84980")</f>
        <v>84980</v>
      </c>
      <c r="F1051" s="3">
        <v>42178</v>
      </c>
      <c r="G1051" s="3">
        <v>42718</v>
      </c>
    </row>
    <row r="1052" spans="1:7" x14ac:dyDescent="0.3">
      <c r="A1052" s="1" t="s">
        <v>1136</v>
      </c>
      <c r="B1052" s="1" t="s">
        <v>1412</v>
      </c>
      <c r="C1052" s="1" t="s">
        <v>1413</v>
      </c>
      <c r="D1052" s="2" t="str">
        <f>HYPERLINK("https://inventaire.cncp.gouv.fr/fiches/1448/","1448")</f>
        <v>1448</v>
      </c>
      <c r="E1052" s="2" t="str">
        <f>HYPERLINK("http://www.intercariforef.org/formations/certification-86353.html","86353")</f>
        <v>86353</v>
      </c>
      <c r="F1052" s="3">
        <v>42340</v>
      </c>
      <c r="G1052" s="3">
        <v>42718</v>
      </c>
    </row>
    <row r="1053" spans="1:7" x14ac:dyDescent="0.3">
      <c r="A1053" s="1" t="s">
        <v>1136</v>
      </c>
      <c r="B1053" s="1" t="s">
        <v>1414</v>
      </c>
      <c r="C1053" s="1" t="s">
        <v>1413</v>
      </c>
      <c r="D1053" s="2" t="str">
        <f>HYPERLINK("https://inventaire.cncp.gouv.fr/fiches/1447/","1447")</f>
        <v>1447</v>
      </c>
      <c r="E1053" s="2" t="str">
        <f>HYPERLINK("http://www.intercariforef.org/formations/certification-86352.html","86352")</f>
        <v>86352</v>
      </c>
      <c r="F1053" s="3">
        <v>42340</v>
      </c>
      <c r="G1053" s="3">
        <v>42718</v>
      </c>
    </row>
    <row r="1054" spans="1:7" x14ac:dyDescent="0.3">
      <c r="A1054" s="1" t="s">
        <v>1136</v>
      </c>
      <c r="B1054" s="1" t="s">
        <v>1415</v>
      </c>
      <c r="C1054" s="1" t="s">
        <v>1416</v>
      </c>
      <c r="D1054" s="2" t="str">
        <f>HYPERLINK("https://inventaire.cncp.gouv.fr/fiches/1822/","1822")</f>
        <v>1822</v>
      </c>
      <c r="E1054" s="2" t="str">
        <f>HYPERLINK("http://www.intercariforef.org/formations/certification-93991.html","93991")</f>
        <v>93991</v>
      </c>
      <c r="F1054" s="3">
        <v>42745</v>
      </c>
      <c r="G1054" s="3">
        <v>42745</v>
      </c>
    </row>
    <row r="1055" spans="1:7" ht="26.2" x14ac:dyDescent="0.3">
      <c r="A1055" s="1" t="s">
        <v>1136</v>
      </c>
      <c r="B1055" s="1" t="s">
        <v>1417</v>
      </c>
      <c r="C1055" s="1" t="s">
        <v>1418</v>
      </c>
      <c r="D1055" s="2" t="str">
        <f>HYPERLINK("https://inventaire.cncp.gouv.fr/fiches/889/","889")</f>
        <v>889</v>
      </c>
      <c r="E1055" s="2" t="str">
        <f>HYPERLINK("http://www.intercariforef.org/formations/certification-85588.html","85588")</f>
        <v>85588</v>
      </c>
      <c r="F1055" s="3">
        <v>42269</v>
      </c>
      <c r="G1055" s="3">
        <v>42269</v>
      </c>
    </row>
    <row r="1056" spans="1:7" x14ac:dyDescent="0.3">
      <c r="A1056" s="1" t="s">
        <v>1136</v>
      </c>
      <c r="B1056" s="1" t="s">
        <v>1419</v>
      </c>
      <c r="C1056" s="1" t="s">
        <v>486</v>
      </c>
      <c r="D1056" s="2" t="str">
        <f>HYPERLINK("https://inventaire.cncp.gouv.fr/fiches/2077/","2077")</f>
        <v>2077</v>
      </c>
      <c r="E1056" s="2" t="str">
        <f>HYPERLINK("http://www.intercariforef.org/formations/certification-90035.html","90035")</f>
        <v>90035</v>
      </c>
      <c r="F1056" s="3">
        <v>42558</v>
      </c>
      <c r="G1056" s="3">
        <v>42718</v>
      </c>
    </row>
    <row r="1057" spans="1:7" x14ac:dyDescent="0.3">
      <c r="A1057" s="1" t="s">
        <v>1136</v>
      </c>
      <c r="B1057" s="1" t="s">
        <v>1420</v>
      </c>
      <c r="C1057" s="1" t="s">
        <v>1421</v>
      </c>
      <c r="D1057" s="2" t="str">
        <f>HYPERLINK("https://inventaire.cncp.gouv.fr/fiches/3434/","3434")</f>
        <v>3434</v>
      </c>
      <c r="E1057" s="2" t="str">
        <f>HYPERLINK("http://www.intercariforef.org/formations/certification-103979.html","103979")</f>
        <v>103979</v>
      </c>
      <c r="F1057" s="3">
        <v>43391</v>
      </c>
      <c r="G1057" s="3">
        <v>43391</v>
      </c>
    </row>
    <row r="1058" spans="1:7" ht="26.2" x14ac:dyDescent="0.3">
      <c r="A1058" s="1" t="s">
        <v>1136</v>
      </c>
      <c r="B1058" s="1" t="s">
        <v>1422</v>
      </c>
      <c r="C1058" s="1" t="s">
        <v>1418</v>
      </c>
      <c r="D1058" s="2" t="str">
        <f>HYPERLINK("https://inventaire.cncp.gouv.fr/fiches/861/","861")</f>
        <v>861</v>
      </c>
      <c r="E1058" s="2" t="str">
        <f>HYPERLINK("http://www.intercariforef.org/formations/certification-85589.html","85589")</f>
        <v>85589</v>
      </c>
      <c r="F1058" s="3">
        <v>42269</v>
      </c>
      <c r="G1058" s="3">
        <v>42269</v>
      </c>
    </row>
    <row r="1059" spans="1:7" x14ac:dyDescent="0.3">
      <c r="A1059" s="1" t="s">
        <v>1136</v>
      </c>
      <c r="B1059" s="1" t="s">
        <v>1423</v>
      </c>
      <c r="C1059" s="1" t="s">
        <v>920</v>
      </c>
      <c r="D1059" s="2" t="str">
        <f>HYPERLINK("https://inventaire.cncp.gouv.fr/fiches/2020/","2020")</f>
        <v>2020</v>
      </c>
      <c r="E1059" s="2" t="str">
        <f>HYPERLINK("http://www.intercariforef.org/formations/certification-90061.html","90061")</f>
        <v>90061</v>
      </c>
      <c r="F1059" s="3">
        <v>42558</v>
      </c>
      <c r="G1059" s="3">
        <v>42558</v>
      </c>
    </row>
    <row r="1060" spans="1:7" x14ac:dyDescent="0.3">
      <c r="A1060" s="1" t="s">
        <v>1136</v>
      </c>
      <c r="B1060" s="1" t="s">
        <v>1424</v>
      </c>
      <c r="C1060" s="1" t="s">
        <v>689</v>
      </c>
      <c r="D1060" s="2" t="str">
        <f>HYPERLINK("https://inventaire.cncp.gouv.fr/fiches/3194/","3194")</f>
        <v>3194</v>
      </c>
      <c r="E1060" s="2" t="str">
        <f>HYPERLINK("http://www.intercariforef.org/formations/certification-100187.html","100187")</f>
        <v>100187</v>
      </c>
      <c r="F1060" s="3">
        <v>43154</v>
      </c>
      <c r="G1060" s="3">
        <v>43154</v>
      </c>
    </row>
    <row r="1061" spans="1:7" x14ac:dyDescent="0.3">
      <c r="A1061" s="1" t="s">
        <v>1136</v>
      </c>
      <c r="B1061" s="1" t="s">
        <v>1425</v>
      </c>
      <c r="C1061" s="1" t="s">
        <v>1426</v>
      </c>
      <c r="D1061" s="2" t="str">
        <f>HYPERLINK("https://inventaire.cncp.gouv.fr/fiches/2845/","2845")</f>
        <v>2845</v>
      </c>
      <c r="E1061" s="2" t="str">
        <f>HYPERLINK("http://www.intercariforef.org/formations/certification-96563.html","96563")</f>
        <v>96563</v>
      </c>
      <c r="F1061" s="3">
        <v>42928</v>
      </c>
      <c r="G1061" s="3">
        <v>42928</v>
      </c>
    </row>
    <row r="1062" spans="1:7" x14ac:dyDescent="0.3">
      <c r="A1062" s="1" t="s">
        <v>1136</v>
      </c>
      <c r="B1062" s="1" t="s">
        <v>1427</v>
      </c>
      <c r="C1062" s="1" t="s">
        <v>1426</v>
      </c>
      <c r="D1062" s="2" t="str">
        <f>HYPERLINK("https://inventaire.cncp.gouv.fr/fiches/2844/","2844")</f>
        <v>2844</v>
      </c>
      <c r="E1062" s="2" t="str">
        <f>HYPERLINK("http://www.intercariforef.org/formations/certification-96565.html","96565")</f>
        <v>96565</v>
      </c>
      <c r="F1062" s="3">
        <v>42928</v>
      </c>
      <c r="G1062" s="3">
        <v>42928</v>
      </c>
    </row>
    <row r="1063" spans="1:7" x14ac:dyDescent="0.3">
      <c r="A1063" s="1" t="s">
        <v>1136</v>
      </c>
      <c r="B1063" s="1" t="s">
        <v>1428</v>
      </c>
      <c r="C1063" s="1" t="s">
        <v>1426</v>
      </c>
      <c r="D1063" s="2" t="str">
        <f>HYPERLINK("https://inventaire.cncp.gouv.fr/fiches/2846/","2846")</f>
        <v>2846</v>
      </c>
      <c r="E1063" s="2" t="str">
        <f>HYPERLINK("http://www.intercariforef.org/formations/certification-96561.html","96561")</f>
        <v>96561</v>
      </c>
      <c r="F1063" s="3">
        <v>42928</v>
      </c>
      <c r="G1063" s="3">
        <v>42928</v>
      </c>
    </row>
    <row r="1064" spans="1:7" x14ac:dyDescent="0.3">
      <c r="A1064" s="1" t="s">
        <v>1136</v>
      </c>
      <c r="B1064" s="1" t="s">
        <v>1429</v>
      </c>
      <c r="C1064" s="1" t="s">
        <v>602</v>
      </c>
      <c r="D1064" s="2" t="str">
        <f>HYPERLINK("https://inventaire.cncp.gouv.fr/fiches/1527/","1527")</f>
        <v>1527</v>
      </c>
      <c r="E1064" s="2" t="str">
        <f>HYPERLINK("http://www.intercariforef.org/formations/certification-87569.html","87569")</f>
        <v>87569</v>
      </c>
      <c r="F1064" s="3">
        <v>42412</v>
      </c>
      <c r="G1064" s="3">
        <v>42718</v>
      </c>
    </row>
    <row r="1065" spans="1:7" x14ac:dyDescent="0.3">
      <c r="A1065" s="1" t="s">
        <v>1136</v>
      </c>
      <c r="B1065" s="1" t="s">
        <v>1430</v>
      </c>
      <c r="C1065" s="1" t="s">
        <v>1431</v>
      </c>
      <c r="D1065" s="2" t="str">
        <f>HYPERLINK("https://inventaire.cncp.gouv.fr/fiches/3057/","3057")</f>
        <v>3057</v>
      </c>
      <c r="E1065" s="2" t="str">
        <f>HYPERLINK("http://www.intercariforef.org/formations/certification-99053.html","99053")</f>
        <v>99053</v>
      </c>
      <c r="F1065" s="3">
        <v>43069</v>
      </c>
      <c r="G1065" s="3">
        <v>43069</v>
      </c>
    </row>
    <row r="1066" spans="1:7" x14ac:dyDescent="0.3">
      <c r="A1066" s="1" t="s">
        <v>1136</v>
      </c>
      <c r="B1066" s="1" t="s">
        <v>1432</v>
      </c>
      <c r="C1066" s="1" t="s">
        <v>678</v>
      </c>
      <c r="D1066" s="2" t="str">
        <f>HYPERLINK("https://inventaire.cncp.gouv.fr/fiches/2672/","2672")</f>
        <v>2672</v>
      </c>
      <c r="E1066" s="2" t="str">
        <f>HYPERLINK("http://www.intercariforef.org/formations/certification-94977.html","94977")</f>
        <v>94977</v>
      </c>
      <c r="F1066" s="3">
        <v>42838</v>
      </c>
      <c r="G1066" s="3">
        <v>42838</v>
      </c>
    </row>
    <row r="1067" spans="1:7" x14ac:dyDescent="0.3">
      <c r="A1067" s="1" t="s">
        <v>1136</v>
      </c>
      <c r="B1067" s="1" t="s">
        <v>1433</v>
      </c>
      <c r="C1067" s="1" t="s">
        <v>1129</v>
      </c>
      <c r="D1067" s="2" t="str">
        <f>HYPERLINK("https://inventaire.cncp.gouv.fr/fiches/3726/","3726")</f>
        <v>3726</v>
      </c>
      <c r="E1067" s="2" t="str">
        <f>HYPERLINK("http://www.intercariforef.org/formations/certification-104157.html","104157")</f>
        <v>104157</v>
      </c>
      <c r="F1067" s="3">
        <v>43398</v>
      </c>
      <c r="G1067" s="3">
        <v>43398</v>
      </c>
    </row>
    <row r="1068" spans="1:7" x14ac:dyDescent="0.3">
      <c r="A1068" s="1" t="s">
        <v>1136</v>
      </c>
      <c r="B1068" s="1" t="s">
        <v>1434</v>
      </c>
      <c r="C1068" s="1" t="s">
        <v>1426</v>
      </c>
      <c r="D1068" s="2" t="str">
        <f>HYPERLINK("https://inventaire.cncp.gouv.fr/fiches/2149/","2149")</f>
        <v>2149</v>
      </c>
      <c r="E1068" s="2" t="str">
        <f>HYPERLINK("http://www.intercariforef.org/formations/certification-90069.html","90069")</f>
        <v>90069</v>
      </c>
      <c r="F1068" s="3">
        <v>42559</v>
      </c>
      <c r="G1068" s="3">
        <v>42718</v>
      </c>
    </row>
    <row r="1069" spans="1:7" x14ac:dyDescent="0.3">
      <c r="A1069" s="1" t="s">
        <v>1136</v>
      </c>
      <c r="B1069" s="1" t="s">
        <v>1435</v>
      </c>
      <c r="C1069" s="1" t="s">
        <v>1426</v>
      </c>
      <c r="D1069" s="2" t="str">
        <f>HYPERLINK("https://inventaire.cncp.gouv.fr/fiches/2146/","2146")</f>
        <v>2146</v>
      </c>
      <c r="E1069" s="2" t="str">
        <f>HYPERLINK("http://www.intercariforef.org/formations/certification-90071.html","90071")</f>
        <v>90071</v>
      </c>
      <c r="F1069" s="3">
        <v>42559</v>
      </c>
      <c r="G1069" s="3">
        <v>42718</v>
      </c>
    </row>
    <row r="1070" spans="1:7" x14ac:dyDescent="0.3">
      <c r="A1070" s="1" t="s">
        <v>1136</v>
      </c>
      <c r="B1070" s="1" t="s">
        <v>1436</v>
      </c>
      <c r="C1070" s="1" t="s">
        <v>709</v>
      </c>
      <c r="D1070" s="2" t="str">
        <f>HYPERLINK("https://inventaire.cncp.gouv.fr/fiches/3504/","3504")</f>
        <v>3504</v>
      </c>
      <c r="E1070" s="2" t="str">
        <f>HYPERLINK("http://www.intercariforef.org/formations/certification-100647.html","100647")</f>
        <v>100647</v>
      </c>
      <c r="F1070" s="3">
        <v>43194</v>
      </c>
      <c r="G1070" s="3">
        <v>43194</v>
      </c>
    </row>
    <row r="1071" spans="1:7" x14ac:dyDescent="0.3">
      <c r="A1071" s="1" t="s">
        <v>1136</v>
      </c>
      <c r="B1071" s="1" t="s">
        <v>1437</v>
      </c>
      <c r="C1071" s="1" t="s">
        <v>1438</v>
      </c>
      <c r="D1071" s="2" t="str">
        <f>HYPERLINK("https://inventaire.cncp.gouv.fr/fiches/3291/","3291")</f>
        <v>3291</v>
      </c>
      <c r="E1071" s="2" t="str">
        <f>HYPERLINK("http://www.intercariforef.org/formations/certification-101197.html","101197")</f>
        <v>101197</v>
      </c>
      <c r="F1071" s="3">
        <v>43250</v>
      </c>
      <c r="G1071" s="3">
        <v>43250</v>
      </c>
    </row>
    <row r="1072" spans="1:7" x14ac:dyDescent="0.3">
      <c r="A1072" s="1" t="s">
        <v>1136</v>
      </c>
      <c r="B1072" s="1" t="s">
        <v>1439</v>
      </c>
      <c r="C1072" s="1" t="s">
        <v>1440</v>
      </c>
      <c r="D1072" s="2" t="str">
        <f>HYPERLINK("https://inventaire.cncp.gouv.fr/fiches/1598/","1598")</f>
        <v>1598</v>
      </c>
      <c r="E1072" s="2" t="str">
        <f>HYPERLINK("http://www.intercariforef.org/formations/certification-87549.html","87549")</f>
        <v>87549</v>
      </c>
      <c r="F1072" s="3">
        <v>42412</v>
      </c>
      <c r="G1072" s="3">
        <v>42718</v>
      </c>
    </row>
    <row r="1073" spans="1:7" x14ac:dyDescent="0.3">
      <c r="A1073" s="1" t="s">
        <v>1136</v>
      </c>
      <c r="B1073" s="1" t="s">
        <v>1441</v>
      </c>
      <c r="C1073" s="1" t="s">
        <v>486</v>
      </c>
      <c r="D1073" s="2" t="str">
        <f>HYPERLINK("https://inventaire.cncp.gouv.fr/fiches/3497/","3497")</f>
        <v>3497</v>
      </c>
      <c r="E1073" s="2" t="str">
        <f>HYPERLINK("http://www.intercariforef.org/formations/certification-101553.html","101553")</f>
        <v>101553</v>
      </c>
      <c r="F1073" s="3">
        <v>43271</v>
      </c>
      <c r="G1073" s="3">
        <v>43271</v>
      </c>
    </row>
    <row r="1074" spans="1:7" x14ac:dyDescent="0.3">
      <c r="A1074" s="1" t="s">
        <v>1136</v>
      </c>
      <c r="B1074" s="1" t="s">
        <v>1442</v>
      </c>
      <c r="C1074" s="1" t="s">
        <v>486</v>
      </c>
      <c r="D1074" s="2" t="str">
        <f>HYPERLINK("https://inventaire.cncp.gouv.fr/fiches/3508/","3508")</f>
        <v>3508</v>
      </c>
      <c r="E1074" s="2" t="str">
        <f>HYPERLINK("http://www.intercariforef.org/formations/certification-101173.html","101173")</f>
        <v>101173</v>
      </c>
      <c r="F1074" s="3">
        <v>43250</v>
      </c>
      <c r="G1074" s="3">
        <v>43250</v>
      </c>
    </row>
    <row r="1075" spans="1:7" x14ac:dyDescent="0.3">
      <c r="A1075" s="1" t="s">
        <v>1136</v>
      </c>
      <c r="B1075" s="1" t="s">
        <v>1443</v>
      </c>
      <c r="C1075" s="1" t="s">
        <v>687</v>
      </c>
      <c r="D1075" s="2" t="str">
        <f>HYPERLINK("https://inventaire.cncp.gouv.fr/fiches/1918/","1918")</f>
        <v>1918</v>
      </c>
      <c r="E1075" s="2" t="str">
        <f>HYPERLINK("http://www.intercariforef.org/formations/certification-89163.html","89163")</f>
        <v>89163</v>
      </c>
      <c r="F1075" s="3">
        <v>42521</v>
      </c>
      <c r="G1075" s="3">
        <v>42521</v>
      </c>
    </row>
    <row r="1076" spans="1:7" ht="26.2" x14ac:dyDescent="0.3">
      <c r="A1076" s="1" t="s">
        <v>1136</v>
      </c>
      <c r="B1076" s="1" t="s">
        <v>1444</v>
      </c>
      <c r="C1076" s="1" t="s">
        <v>1445</v>
      </c>
      <c r="D1076" s="2" t="str">
        <f>HYPERLINK("https://inventaire.cncp.gouv.fr/fiches/2862/","2862")</f>
        <v>2862</v>
      </c>
      <c r="E1076" s="2" t="str">
        <f>HYPERLINK("http://www.intercariforef.org/formations/certification-95591.html","95591")</f>
        <v>95591</v>
      </c>
      <c r="F1076" s="3">
        <v>42893</v>
      </c>
      <c r="G1076" s="3">
        <v>42893</v>
      </c>
    </row>
    <row r="1077" spans="1:7" x14ac:dyDescent="0.3">
      <c r="A1077" s="1" t="s">
        <v>1136</v>
      </c>
      <c r="B1077" s="1" t="s">
        <v>1446</v>
      </c>
      <c r="C1077" s="1" t="s">
        <v>1447</v>
      </c>
      <c r="D1077" s="2" t="str">
        <f>HYPERLINK("https://inventaire.cncp.gouv.fr/fiches/3276/","3276")</f>
        <v>3276</v>
      </c>
      <c r="E1077" s="2" t="str">
        <f>HYPERLINK("http://www.intercariforef.org/formations/certification-100707.html","100707")</f>
        <v>100707</v>
      </c>
      <c r="F1077" s="3">
        <v>43199</v>
      </c>
      <c r="G1077" s="3">
        <v>43199</v>
      </c>
    </row>
    <row r="1078" spans="1:7" x14ac:dyDescent="0.3">
      <c r="A1078" s="1" t="s">
        <v>1136</v>
      </c>
      <c r="B1078" s="1" t="s">
        <v>1448</v>
      </c>
      <c r="C1078" s="1" t="s">
        <v>966</v>
      </c>
      <c r="D1078" s="2" t="str">
        <f>HYPERLINK("https://inventaire.cncp.gouv.fr/fiches/1498/","1498")</f>
        <v>1498</v>
      </c>
      <c r="E1078" s="2" t="str">
        <f>HYPERLINK("http://www.intercariforef.org/formations/certification-93979.html","93979")</f>
        <v>93979</v>
      </c>
      <c r="F1078" s="3">
        <v>42745</v>
      </c>
      <c r="G1078" s="3">
        <v>42745</v>
      </c>
    </row>
    <row r="1079" spans="1:7" x14ac:dyDescent="0.3">
      <c r="A1079" s="1" t="s">
        <v>1136</v>
      </c>
      <c r="B1079" s="1" t="s">
        <v>1449</v>
      </c>
      <c r="C1079" s="1" t="s">
        <v>1450</v>
      </c>
      <c r="D1079" s="2" t="str">
        <f>HYPERLINK("https://inventaire.cncp.gouv.fr/fiches/3729/","3729")</f>
        <v>3729</v>
      </c>
      <c r="E1079" s="2" t="str">
        <f>HYPERLINK("http://www.intercariforef.org/formations/certification-103957.html","103957")</f>
        <v>103957</v>
      </c>
      <c r="F1079" s="3">
        <v>43391</v>
      </c>
      <c r="G1079" s="3">
        <v>43391</v>
      </c>
    </row>
    <row r="1080" spans="1:7" x14ac:dyDescent="0.3">
      <c r="A1080" s="1" t="s">
        <v>1136</v>
      </c>
      <c r="B1080" s="1" t="s">
        <v>1451</v>
      </c>
      <c r="C1080" s="1" t="s">
        <v>707</v>
      </c>
      <c r="D1080" s="2" t="str">
        <f>HYPERLINK("https://inventaire.cncp.gouv.fr/fiches/2232/","2232")</f>
        <v>2232</v>
      </c>
      <c r="E1080" s="2" t="str">
        <f>HYPERLINK("http://www.intercariforef.org/formations/certification-94009.html","94009")</f>
        <v>94009</v>
      </c>
      <c r="F1080" s="3">
        <v>42745</v>
      </c>
      <c r="G1080" s="3">
        <v>42745</v>
      </c>
    </row>
    <row r="1081" spans="1:7" x14ac:dyDescent="0.3">
      <c r="A1081" s="1" t="s">
        <v>1136</v>
      </c>
      <c r="B1081" s="1" t="s">
        <v>1452</v>
      </c>
      <c r="C1081" s="1" t="s">
        <v>707</v>
      </c>
      <c r="D1081" s="2" t="str">
        <f>HYPERLINK("https://inventaire.cncp.gouv.fr/fiches/2233/","2233")</f>
        <v>2233</v>
      </c>
      <c r="E1081" s="2" t="str">
        <f>HYPERLINK("http://www.intercariforef.org/formations/certification-93877.html","93877")</f>
        <v>93877</v>
      </c>
      <c r="F1081" s="3">
        <v>42744</v>
      </c>
      <c r="G1081" s="3">
        <v>42744</v>
      </c>
    </row>
    <row r="1082" spans="1:7" x14ac:dyDescent="0.3">
      <c r="A1082" s="1" t="s">
        <v>1136</v>
      </c>
      <c r="B1082" s="1" t="s">
        <v>1453</v>
      </c>
      <c r="C1082" s="1" t="s">
        <v>707</v>
      </c>
      <c r="D1082" s="2" t="str">
        <f>HYPERLINK("https://inventaire.cncp.gouv.fr/fiches/2231/","2231")</f>
        <v>2231</v>
      </c>
      <c r="E1082" s="2" t="str">
        <f>HYPERLINK("http://www.intercariforef.org/formations/certification-94013.html","94013")</f>
        <v>94013</v>
      </c>
      <c r="F1082" s="3">
        <v>42745</v>
      </c>
      <c r="G1082" s="3">
        <v>42745</v>
      </c>
    </row>
    <row r="1083" spans="1:7" x14ac:dyDescent="0.3">
      <c r="A1083" s="1" t="s">
        <v>1136</v>
      </c>
      <c r="B1083" s="1" t="s">
        <v>1454</v>
      </c>
      <c r="C1083" s="1" t="s">
        <v>1455</v>
      </c>
      <c r="D1083" s="2" t="str">
        <f>HYPERLINK("https://inventaire.cncp.gouv.fr/fiches/2436/","2436")</f>
        <v>2436</v>
      </c>
      <c r="E1083" s="2" t="str">
        <f>HYPERLINK("http://www.intercariforef.org/formations/certification-93819.html","93819")</f>
        <v>93819</v>
      </c>
      <c r="F1083" s="3">
        <v>42740</v>
      </c>
      <c r="G1083" s="3">
        <v>42740</v>
      </c>
    </row>
    <row r="1084" spans="1:7" x14ac:dyDescent="0.3">
      <c r="A1084" s="1" t="s">
        <v>1136</v>
      </c>
      <c r="B1084" s="1" t="s">
        <v>1456</v>
      </c>
      <c r="C1084" s="1" t="s">
        <v>707</v>
      </c>
      <c r="D1084" s="2" t="str">
        <f>HYPERLINK("https://inventaire.cncp.gouv.fr/fiches/2226/","2226")</f>
        <v>2226</v>
      </c>
      <c r="E1084" s="2" t="str">
        <f>HYPERLINK("http://www.intercariforef.org/formations/certification-93841.html","93841")</f>
        <v>93841</v>
      </c>
      <c r="F1084" s="3">
        <v>42744</v>
      </c>
      <c r="G1084" s="3">
        <v>42744</v>
      </c>
    </row>
    <row r="1085" spans="1:7" x14ac:dyDescent="0.3">
      <c r="A1085" s="1" t="s">
        <v>1136</v>
      </c>
      <c r="B1085" s="1" t="s">
        <v>1457</v>
      </c>
      <c r="C1085" s="1" t="s">
        <v>1458</v>
      </c>
      <c r="D1085" s="2" t="str">
        <f>HYPERLINK("https://inventaire.cncp.gouv.fr/fiches/2919/","2919")</f>
        <v>2919</v>
      </c>
      <c r="E1085" s="2" t="str">
        <f>HYPERLINK("http://www.intercariforef.org/formations/certification-96543.html","96543")</f>
        <v>96543</v>
      </c>
      <c r="F1085" s="3">
        <v>42928</v>
      </c>
      <c r="G1085" s="3">
        <v>42928</v>
      </c>
    </row>
    <row r="1086" spans="1:7" x14ac:dyDescent="0.3">
      <c r="A1086" s="1" t="s">
        <v>1136</v>
      </c>
      <c r="B1086" s="1" t="s">
        <v>1459</v>
      </c>
      <c r="C1086" s="1" t="s">
        <v>1458</v>
      </c>
      <c r="D1086" s="2" t="str">
        <f>HYPERLINK("https://inventaire.cncp.gouv.fr/fiches/2543/","2543")</f>
        <v>2543</v>
      </c>
      <c r="E1086" s="2" t="str">
        <f>HYPERLINK("http://www.intercariforef.org/formations/certification-95663.html","95663")</f>
        <v>95663</v>
      </c>
      <c r="F1086" s="3">
        <v>42894</v>
      </c>
      <c r="G1086" s="3">
        <v>42894</v>
      </c>
    </row>
    <row r="1087" spans="1:7" x14ac:dyDescent="0.3">
      <c r="A1087" s="1" t="s">
        <v>1136</v>
      </c>
      <c r="B1087" s="1" t="s">
        <v>1460</v>
      </c>
      <c r="C1087" s="1" t="s">
        <v>602</v>
      </c>
      <c r="D1087" s="2" t="str">
        <f>HYPERLINK("https://inventaire.cncp.gouv.fr/fiches/2343/","2343")</f>
        <v>2343</v>
      </c>
      <c r="E1087" s="2" t="str">
        <f>HYPERLINK("http://www.intercariforef.org/formations/certification-93885.html","93885")</f>
        <v>93885</v>
      </c>
      <c r="F1087" s="3">
        <v>42744</v>
      </c>
      <c r="G1087" s="3">
        <v>42979</v>
      </c>
    </row>
    <row r="1088" spans="1:7" x14ac:dyDescent="0.3">
      <c r="A1088" s="1" t="s">
        <v>1136</v>
      </c>
      <c r="B1088" s="1" t="s">
        <v>1461</v>
      </c>
      <c r="C1088" s="1" t="s">
        <v>1462</v>
      </c>
      <c r="D1088" s="2" t="str">
        <f>HYPERLINK("https://inventaire.cncp.gouv.fr/fiches/4119/","4119")</f>
        <v>4119</v>
      </c>
      <c r="E1088" s="2" t="str">
        <f>HYPERLINK("http://www.intercariforef.org/formations/certification-104083.html","104083")</f>
        <v>104083</v>
      </c>
      <c r="F1088" s="3">
        <v>43397</v>
      </c>
      <c r="G1088" s="3">
        <v>43397</v>
      </c>
    </row>
    <row r="1089" spans="1:7" x14ac:dyDescent="0.3">
      <c r="A1089" s="1" t="s">
        <v>1136</v>
      </c>
      <c r="B1089" s="1" t="s">
        <v>1463</v>
      </c>
      <c r="C1089" s="1" t="s">
        <v>1464</v>
      </c>
      <c r="D1089" s="2" t="str">
        <f>HYPERLINK("https://inventaire.cncp.gouv.fr/fiches/3096/","3096")</f>
        <v>3096</v>
      </c>
      <c r="E1089" s="2" t="str">
        <f>HYPERLINK("http://www.intercariforef.org/formations/certification-98397.html","98397")</f>
        <v>98397</v>
      </c>
      <c r="F1089" s="3">
        <v>43027</v>
      </c>
      <c r="G1089" s="3">
        <v>43027</v>
      </c>
    </row>
    <row r="1090" spans="1:7" ht="26.2" x14ac:dyDescent="0.3">
      <c r="A1090" s="1" t="s">
        <v>1136</v>
      </c>
      <c r="B1090" s="1" t="s">
        <v>1465</v>
      </c>
      <c r="C1090" s="1" t="s">
        <v>1466</v>
      </c>
      <c r="D1090" s="2" t="str">
        <f>HYPERLINK("https://inventaire.cncp.gouv.fr/fiches/557/","557")</f>
        <v>557</v>
      </c>
      <c r="E1090" s="2" t="str">
        <f>HYPERLINK("http://www.intercariforef.org/formations/certification-85164.html","85164")</f>
        <v>85164</v>
      </c>
      <c r="F1090" s="3">
        <v>42201</v>
      </c>
      <c r="G1090" s="3">
        <v>42718</v>
      </c>
    </row>
    <row r="1091" spans="1:7" ht="26.2" x14ac:dyDescent="0.3">
      <c r="A1091" s="1" t="s">
        <v>1136</v>
      </c>
      <c r="B1091" s="1" t="s">
        <v>1467</v>
      </c>
      <c r="C1091" s="1" t="s">
        <v>1466</v>
      </c>
      <c r="D1091" s="2" t="str">
        <f>HYPERLINK("https://inventaire.cncp.gouv.fr/fiches/559/","559")</f>
        <v>559</v>
      </c>
      <c r="E1091" s="2" t="str">
        <f>HYPERLINK("http://www.intercariforef.org/formations/certification-85165.html","85165")</f>
        <v>85165</v>
      </c>
      <c r="F1091" s="3">
        <v>42201</v>
      </c>
      <c r="G1091" s="3">
        <v>42718</v>
      </c>
    </row>
    <row r="1092" spans="1:7" ht="26.2" x14ac:dyDescent="0.3">
      <c r="A1092" s="1" t="s">
        <v>1136</v>
      </c>
      <c r="B1092" s="1" t="s">
        <v>1468</v>
      </c>
      <c r="C1092" s="1" t="s">
        <v>1466</v>
      </c>
      <c r="D1092" s="2" t="str">
        <f>HYPERLINK("https://inventaire.cncp.gouv.fr/fiches/556/","556")</f>
        <v>556</v>
      </c>
      <c r="E1092" s="2" t="str">
        <f>HYPERLINK("http://www.intercariforef.org/formations/certification-85166.html","85166")</f>
        <v>85166</v>
      </c>
      <c r="F1092" s="3">
        <v>42201</v>
      </c>
      <c r="G1092" s="3">
        <v>42718</v>
      </c>
    </row>
    <row r="1093" spans="1:7" x14ac:dyDescent="0.3">
      <c r="A1093" s="1" t="s">
        <v>1136</v>
      </c>
      <c r="B1093" s="1" t="s">
        <v>1469</v>
      </c>
      <c r="C1093" s="1" t="s">
        <v>1466</v>
      </c>
      <c r="D1093" s="2" t="str">
        <f>HYPERLINK("https://inventaire.cncp.gouv.fr/fiches/554/","554")</f>
        <v>554</v>
      </c>
      <c r="E1093" s="2" t="str">
        <f>HYPERLINK("http://www.intercariforef.org/formations/certification-85167.html","85167")</f>
        <v>85167</v>
      </c>
      <c r="F1093" s="3">
        <v>42201</v>
      </c>
      <c r="G1093" s="3">
        <v>42718</v>
      </c>
    </row>
    <row r="1094" spans="1:7" ht="26.2" x14ac:dyDescent="0.3">
      <c r="A1094" s="1" t="s">
        <v>1136</v>
      </c>
      <c r="B1094" s="1" t="s">
        <v>1470</v>
      </c>
      <c r="C1094" s="1" t="s">
        <v>1466</v>
      </c>
      <c r="D1094" s="2" t="str">
        <f>HYPERLINK("https://inventaire.cncp.gouv.fr/fiches/570/","570")</f>
        <v>570</v>
      </c>
      <c r="E1094" s="2" t="str">
        <f>HYPERLINK("http://www.intercariforef.org/formations/certification-85168.html","85168")</f>
        <v>85168</v>
      </c>
      <c r="F1094" s="3">
        <v>42201</v>
      </c>
      <c r="G1094" s="3">
        <v>42718</v>
      </c>
    </row>
    <row r="1095" spans="1:7" ht="26.2" x14ac:dyDescent="0.3">
      <c r="A1095" s="1" t="s">
        <v>1136</v>
      </c>
      <c r="B1095" s="1" t="s">
        <v>1471</v>
      </c>
      <c r="C1095" s="1" t="s">
        <v>1466</v>
      </c>
      <c r="D1095" s="2" t="str">
        <f>HYPERLINK("https://inventaire.cncp.gouv.fr/fiches/573/","573")</f>
        <v>573</v>
      </c>
      <c r="E1095" s="2" t="str">
        <f>HYPERLINK("http://www.intercariforef.org/formations/certification-85169.html","85169")</f>
        <v>85169</v>
      </c>
      <c r="F1095" s="3">
        <v>42201</v>
      </c>
      <c r="G1095" s="3">
        <v>42718</v>
      </c>
    </row>
    <row r="1096" spans="1:7" ht="26.2" x14ac:dyDescent="0.3">
      <c r="A1096" s="1" t="s">
        <v>1136</v>
      </c>
      <c r="B1096" s="1" t="s">
        <v>1472</v>
      </c>
      <c r="C1096" s="1" t="s">
        <v>1466</v>
      </c>
      <c r="D1096" s="2" t="str">
        <f>HYPERLINK("https://inventaire.cncp.gouv.fr/fiches/561/","561")</f>
        <v>561</v>
      </c>
      <c r="E1096" s="2" t="str">
        <f>HYPERLINK("http://www.intercariforef.org/formations/certification-85170.html","85170")</f>
        <v>85170</v>
      </c>
      <c r="F1096" s="3">
        <v>42201</v>
      </c>
      <c r="G1096" s="3">
        <v>42718</v>
      </c>
    </row>
    <row r="1097" spans="1:7" x14ac:dyDescent="0.3">
      <c r="A1097" s="1" t="s">
        <v>1136</v>
      </c>
      <c r="B1097" s="1" t="s">
        <v>1473</v>
      </c>
      <c r="C1097" s="1" t="s">
        <v>1466</v>
      </c>
      <c r="D1097" s="2" t="str">
        <f>HYPERLINK("https://inventaire.cncp.gouv.fr/fiches/560/","560")</f>
        <v>560</v>
      </c>
      <c r="E1097" s="2" t="str">
        <f>HYPERLINK("http://www.intercariforef.org/formations/certification-85171.html","85171")</f>
        <v>85171</v>
      </c>
      <c r="F1097" s="3">
        <v>42201</v>
      </c>
      <c r="G1097" s="3">
        <v>42718</v>
      </c>
    </row>
    <row r="1098" spans="1:7" x14ac:dyDescent="0.3">
      <c r="A1098" s="1" t="s">
        <v>1136</v>
      </c>
      <c r="B1098" s="1" t="s">
        <v>1474</v>
      </c>
      <c r="C1098" s="1" t="s">
        <v>1252</v>
      </c>
      <c r="D1098" s="2" t="str">
        <f>HYPERLINK("https://inventaire.cncp.gouv.fr/fiches/3105/","3105")</f>
        <v>3105</v>
      </c>
      <c r="E1098" s="2" t="str">
        <f>HYPERLINK("http://www.intercariforef.org/formations/certification-98521.html","98521")</f>
        <v>98521</v>
      </c>
      <c r="F1098" s="3">
        <v>43033</v>
      </c>
      <c r="G1098" s="3">
        <v>43046</v>
      </c>
    </row>
    <row r="1099" spans="1:7" x14ac:dyDescent="0.3">
      <c r="A1099" s="1" t="s">
        <v>1136</v>
      </c>
      <c r="B1099" s="1" t="s">
        <v>1475</v>
      </c>
      <c r="C1099" s="1" t="s">
        <v>1188</v>
      </c>
      <c r="D1099" s="2" t="str">
        <f>HYPERLINK("https://inventaire.cncp.gouv.fr/fiches/3303/","3303")</f>
        <v>3303</v>
      </c>
      <c r="E1099" s="2" t="str">
        <f>HYPERLINK("http://www.intercariforef.org/formations/certification-100671.html","100671")</f>
        <v>100671</v>
      </c>
      <c r="F1099" s="3">
        <v>43194</v>
      </c>
      <c r="G1099" s="3">
        <v>43194</v>
      </c>
    </row>
    <row r="1100" spans="1:7" x14ac:dyDescent="0.3">
      <c r="A1100" s="1" t="s">
        <v>1136</v>
      </c>
      <c r="B1100" s="1" t="s">
        <v>1476</v>
      </c>
      <c r="C1100" s="1" t="s">
        <v>1188</v>
      </c>
      <c r="D1100" s="2" t="str">
        <f>HYPERLINK("https://inventaire.cncp.gouv.fr/fiches/296/","296")</f>
        <v>296</v>
      </c>
      <c r="E1100" s="2" t="str">
        <f>HYPERLINK("http://www.intercariforef.org/formations/certification-84553.html","84553")</f>
        <v>84553</v>
      </c>
      <c r="F1100" s="3">
        <v>42114</v>
      </c>
      <c r="G1100" s="3">
        <v>42718</v>
      </c>
    </row>
    <row r="1101" spans="1:7" x14ac:dyDescent="0.3">
      <c r="A1101" s="1" t="s">
        <v>1136</v>
      </c>
      <c r="B1101" s="1" t="s">
        <v>1477</v>
      </c>
      <c r="C1101" s="1" t="s">
        <v>1188</v>
      </c>
      <c r="D1101" s="2" t="str">
        <f>HYPERLINK("https://inventaire.cncp.gouv.fr/fiches/298/","298")</f>
        <v>298</v>
      </c>
      <c r="E1101" s="2" t="str">
        <f>HYPERLINK("http://www.intercariforef.org/formations/certification-85785.html","85785")</f>
        <v>85785</v>
      </c>
      <c r="F1101" s="3">
        <v>42279</v>
      </c>
      <c r="G1101" s="3">
        <v>42718</v>
      </c>
    </row>
    <row r="1102" spans="1:7" x14ac:dyDescent="0.3">
      <c r="A1102" s="1" t="s">
        <v>1136</v>
      </c>
      <c r="B1102" s="1" t="s">
        <v>1478</v>
      </c>
      <c r="C1102" s="1" t="s">
        <v>1479</v>
      </c>
      <c r="D1102" s="2" t="str">
        <f>HYPERLINK("https://inventaire.cncp.gouv.fr/fiches/1863/","1863")</f>
        <v>1863</v>
      </c>
      <c r="E1102" s="2" t="str">
        <f>HYPERLINK("http://www.intercariforef.org/formations/certification-92085.html","92085")</f>
        <v>92085</v>
      </c>
      <c r="F1102" s="3">
        <v>42667</v>
      </c>
      <c r="G1102" s="3">
        <v>42667</v>
      </c>
    </row>
    <row r="1103" spans="1:7" x14ac:dyDescent="0.3">
      <c r="A1103" s="1" t="s">
        <v>1136</v>
      </c>
      <c r="B1103" s="1" t="s">
        <v>1480</v>
      </c>
      <c r="C1103" s="1" t="s">
        <v>1481</v>
      </c>
      <c r="D1103" s="2" t="str">
        <f>HYPERLINK("https://inventaire.cncp.gouv.fr/fiches/2204/","2204")</f>
        <v>2204</v>
      </c>
      <c r="E1103" s="2" t="str">
        <f>HYPERLINK("http://www.intercariforef.org/formations/certification-90011.html","90011")</f>
        <v>90011</v>
      </c>
      <c r="F1103" s="3">
        <v>42557</v>
      </c>
      <c r="G1103" s="3">
        <v>42718</v>
      </c>
    </row>
    <row r="1104" spans="1:7" x14ac:dyDescent="0.3">
      <c r="A1104" s="1" t="s">
        <v>1136</v>
      </c>
      <c r="B1104" s="1" t="s">
        <v>1482</v>
      </c>
      <c r="C1104" s="1" t="s">
        <v>1483</v>
      </c>
      <c r="D1104" s="2" t="str">
        <f>HYPERLINK("https://inventaire.cncp.gouv.fr/fiches/1709/","1709")</f>
        <v>1709</v>
      </c>
      <c r="E1104" s="2" t="str">
        <f>HYPERLINK("http://www.intercariforef.org/formations/certification-88407.html","88407")</f>
        <v>88407</v>
      </c>
      <c r="F1104" s="3">
        <v>42461</v>
      </c>
      <c r="G1104" s="3">
        <v>42718</v>
      </c>
    </row>
    <row r="1105" spans="1:7" x14ac:dyDescent="0.3">
      <c r="A1105" s="1" t="s">
        <v>1136</v>
      </c>
      <c r="B1105" s="1" t="s">
        <v>1484</v>
      </c>
      <c r="C1105" s="1" t="s">
        <v>1485</v>
      </c>
      <c r="D1105" s="2" t="str">
        <f>HYPERLINK("https://inventaire.cncp.gouv.fr/fiches/1781/","1781")</f>
        <v>1781</v>
      </c>
      <c r="E1105" s="2" t="str">
        <f>HYPERLINK("http://www.intercariforef.org/formations/certification-92127.html","92127")</f>
        <v>92127</v>
      </c>
      <c r="F1105" s="3">
        <v>42667</v>
      </c>
      <c r="G1105" s="3">
        <v>42667</v>
      </c>
    </row>
    <row r="1106" spans="1:7" x14ac:dyDescent="0.3">
      <c r="A1106" s="1" t="s">
        <v>1136</v>
      </c>
      <c r="B1106" s="1" t="s">
        <v>1486</v>
      </c>
      <c r="C1106" s="1" t="s">
        <v>1485</v>
      </c>
      <c r="D1106" s="2" t="str">
        <f>HYPERLINK("https://inventaire.cncp.gouv.fr/fiches/1762/","1762")</f>
        <v>1762</v>
      </c>
      <c r="E1106" s="2" t="str">
        <f>HYPERLINK("http://www.intercariforef.org/formations/certification-93997.html","93997")</f>
        <v>93997</v>
      </c>
      <c r="F1106" s="3">
        <v>42745</v>
      </c>
      <c r="G1106" s="3">
        <v>42745</v>
      </c>
    </row>
    <row r="1107" spans="1:7" x14ac:dyDescent="0.3">
      <c r="A1107" s="1" t="s">
        <v>1136</v>
      </c>
      <c r="B1107" s="1" t="s">
        <v>1487</v>
      </c>
      <c r="C1107" s="1" t="s">
        <v>1485</v>
      </c>
      <c r="D1107" s="2" t="str">
        <f>HYPERLINK("https://inventaire.cncp.gouv.fr/fiches/1752/","1752")</f>
        <v>1752</v>
      </c>
      <c r="E1107" s="2" t="str">
        <f>HYPERLINK("http://www.intercariforef.org/formations/certification-94001.html","94001")</f>
        <v>94001</v>
      </c>
      <c r="F1107" s="3">
        <v>42745</v>
      </c>
      <c r="G1107" s="3">
        <v>42745</v>
      </c>
    </row>
    <row r="1108" spans="1:7" x14ac:dyDescent="0.3">
      <c r="A1108" s="1" t="s">
        <v>1136</v>
      </c>
      <c r="B1108" s="1" t="s">
        <v>1488</v>
      </c>
      <c r="C1108" s="1" t="s">
        <v>1485</v>
      </c>
      <c r="D1108" s="2" t="str">
        <f>HYPERLINK("https://inventaire.cncp.gouv.fr/fiches/1649/","1649")</f>
        <v>1649</v>
      </c>
      <c r="E1108" s="2" t="str">
        <f>HYPERLINK("http://www.intercariforef.org/formations/certification-93993.html","93993")</f>
        <v>93993</v>
      </c>
      <c r="F1108" s="3">
        <v>42745</v>
      </c>
      <c r="G1108" s="3">
        <v>42745</v>
      </c>
    </row>
    <row r="1109" spans="1:7" x14ac:dyDescent="0.3">
      <c r="A1109" s="1" t="s">
        <v>1136</v>
      </c>
      <c r="B1109" s="1" t="s">
        <v>1489</v>
      </c>
      <c r="C1109" s="1" t="s">
        <v>1485</v>
      </c>
      <c r="D1109" s="2" t="str">
        <f>HYPERLINK("https://inventaire.cncp.gouv.fr/fiches/1763/","1763")</f>
        <v>1763</v>
      </c>
      <c r="E1109" s="2" t="str">
        <f>HYPERLINK("http://www.intercariforef.org/formations/certification-93995.html","93995")</f>
        <v>93995</v>
      </c>
      <c r="F1109" s="3">
        <v>42745</v>
      </c>
      <c r="G1109" s="3">
        <v>42745</v>
      </c>
    </row>
    <row r="1110" spans="1:7" x14ac:dyDescent="0.3">
      <c r="A1110" s="1" t="s">
        <v>1136</v>
      </c>
      <c r="B1110" s="1" t="s">
        <v>1490</v>
      </c>
      <c r="C1110" s="1" t="s">
        <v>1485</v>
      </c>
      <c r="D1110" s="2" t="str">
        <f>HYPERLINK("https://inventaire.cncp.gouv.fr/fiches/1758/","1758")</f>
        <v>1758</v>
      </c>
      <c r="E1110" s="2" t="str">
        <f>HYPERLINK("http://www.intercariforef.org/formations/certification-93999.html","93999")</f>
        <v>93999</v>
      </c>
      <c r="F1110" s="3">
        <v>42745</v>
      </c>
      <c r="G1110" s="3">
        <v>42745</v>
      </c>
    </row>
    <row r="1111" spans="1:7" x14ac:dyDescent="0.3">
      <c r="A1111" s="1" t="s">
        <v>1136</v>
      </c>
      <c r="B1111" s="1" t="s">
        <v>1491</v>
      </c>
      <c r="C1111" s="1" t="s">
        <v>1485</v>
      </c>
      <c r="D1111" s="2" t="str">
        <f>HYPERLINK("https://inventaire.cncp.gouv.fr/fiches/2333/","2333")</f>
        <v>2333</v>
      </c>
      <c r="E1111" s="2" t="str">
        <f>HYPERLINK("http://www.intercariforef.org/formations/certification-93937.html","93937")</f>
        <v>93937</v>
      </c>
      <c r="F1111" s="3">
        <v>42744</v>
      </c>
      <c r="G1111" s="3">
        <v>42744</v>
      </c>
    </row>
    <row r="1112" spans="1:7" x14ac:dyDescent="0.3">
      <c r="A1112" s="1" t="s">
        <v>1136</v>
      </c>
      <c r="B1112" s="1" t="s">
        <v>1492</v>
      </c>
      <c r="C1112" s="1" t="s">
        <v>678</v>
      </c>
      <c r="D1112" s="2" t="str">
        <f>HYPERLINK("https://inventaire.cncp.gouv.fr/fiches/3594/","3594")</f>
        <v>3594</v>
      </c>
      <c r="E1112" s="2" t="str">
        <f>HYPERLINK("http://www.intercariforef.org/formations/certification-103981.html","103981")</f>
        <v>103981</v>
      </c>
      <c r="F1112" s="3">
        <v>43391</v>
      </c>
      <c r="G1112" s="3">
        <v>43391</v>
      </c>
    </row>
    <row r="1113" spans="1:7" x14ac:dyDescent="0.3">
      <c r="A1113" s="1" t="s">
        <v>1136</v>
      </c>
      <c r="B1113" s="1" t="s">
        <v>1493</v>
      </c>
      <c r="C1113" s="1" t="s">
        <v>678</v>
      </c>
      <c r="D1113" s="2" t="str">
        <f>HYPERLINK("https://inventaire.cncp.gouv.fr/fiches/3299/","3299")</f>
        <v>3299</v>
      </c>
      <c r="E1113" s="2" t="str">
        <f>HYPERLINK("http://www.intercariforef.org/formations/certification-100085.html","100085")</f>
        <v>100085</v>
      </c>
      <c r="F1113" s="3">
        <v>43152</v>
      </c>
      <c r="G1113" s="3">
        <v>43152</v>
      </c>
    </row>
    <row r="1114" spans="1:7" x14ac:dyDescent="0.3">
      <c r="A1114" s="1" t="s">
        <v>1136</v>
      </c>
      <c r="B1114" s="1" t="s">
        <v>1494</v>
      </c>
      <c r="C1114" s="1" t="s">
        <v>602</v>
      </c>
      <c r="D1114" s="2" t="str">
        <f>HYPERLINK("https://inventaire.cncp.gouv.fr/fiches/2342/","2342")</f>
        <v>2342</v>
      </c>
      <c r="E1114" s="2" t="str">
        <f>HYPERLINK("http://www.intercariforef.org/formations/certification-93935.html","93935")</f>
        <v>93935</v>
      </c>
      <c r="F1114" s="3">
        <v>42744</v>
      </c>
      <c r="G1114" s="3">
        <v>42979</v>
      </c>
    </row>
    <row r="1115" spans="1:7" x14ac:dyDescent="0.3">
      <c r="A1115" s="1" t="s">
        <v>1136</v>
      </c>
      <c r="B1115" s="1" t="s">
        <v>1495</v>
      </c>
      <c r="C1115" s="1" t="s">
        <v>1143</v>
      </c>
      <c r="D1115" s="2" t="str">
        <f>HYPERLINK("https://inventaire.cncp.gouv.fr/fiches/1745/","1745")</f>
        <v>1745</v>
      </c>
      <c r="E1115" s="2" t="str">
        <f>HYPERLINK("http://www.intercariforef.org/formations/certification-93909.html","93909")</f>
        <v>93909</v>
      </c>
      <c r="F1115" s="3">
        <v>42744</v>
      </c>
      <c r="G1115" s="3">
        <v>42744</v>
      </c>
    </row>
    <row r="1116" spans="1:7" x14ac:dyDescent="0.3">
      <c r="A1116" s="1" t="s">
        <v>1136</v>
      </c>
      <c r="B1116" s="1" t="s">
        <v>1496</v>
      </c>
      <c r="C1116" s="1" t="s">
        <v>1143</v>
      </c>
      <c r="D1116" s="2" t="str">
        <f>HYPERLINK("https://inventaire.cncp.gouv.fr/fiches/1658/","1658")</f>
        <v>1658</v>
      </c>
      <c r="E1116" s="2" t="str">
        <f>HYPERLINK("http://www.intercariforef.org/formations/certification-93871.html","93871")</f>
        <v>93871</v>
      </c>
      <c r="F1116" s="3">
        <v>42744</v>
      </c>
      <c r="G1116" s="3">
        <v>42744</v>
      </c>
    </row>
    <row r="1117" spans="1:7" x14ac:dyDescent="0.3">
      <c r="A1117" s="1" t="s">
        <v>1136</v>
      </c>
      <c r="B1117" s="1" t="s">
        <v>1497</v>
      </c>
      <c r="C1117" s="1" t="s">
        <v>208</v>
      </c>
      <c r="D1117" s="2" t="str">
        <f>HYPERLINK("https://inventaire.cncp.gouv.fr/fiches/2964/","2964")</f>
        <v>2964</v>
      </c>
      <c r="E1117" s="2" t="str">
        <f>HYPERLINK("http://www.intercariforef.org/formations/certification-97139.html","97139")</f>
        <v>97139</v>
      </c>
      <c r="F1117" s="3">
        <v>42983</v>
      </c>
      <c r="G1117" s="3">
        <v>42983</v>
      </c>
    </row>
    <row r="1118" spans="1:7" x14ac:dyDescent="0.3">
      <c r="A1118" s="1" t="s">
        <v>1136</v>
      </c>
      <c r="B1118" s="1" t="s">
        <v>1498</v>
      </c>
      <c r="C1118" s="1" t="s">
        <v>1499</v>
      </c>
      <c r="D1118" s="2" t="str">
        <f>HYPERLINK("https://inventaire.cncp.gouv.fr/fiches/2037/","2037")</f>
        <v>2037</v>
      </c>
      <c r="E1118" s="2" t="str">
        <f>HYPERLINK("http://www.intercariforef.org/formations/certification-92087.html","92087")</f>
        <v>92087</v>
      </c>
      <c r="F1118" s="3">
        <v>42667</v>
      </c>
      <c r="G1118" s="3">
        <v>43111</v>
      </c>
    </row>
    <row r="1119" spans="1:7" x14ac:dyDescent="0.3">
      <c r="A1119" s="1" t="s">
        <v>1136</v>
      </c>
      <c r="B1119" s="1" t="s">
        <v>1500</v>
      </c>
      <c r="C1119" s="1" t="s">
        <v>776</v>
      </c>
      <c r="D1119" s="2" t="str">
        <f>HYPERLINK("https://inventaire.cncp.gouv.fr/fiches/3628/","3628")</f>
        <v>3628</v>
      </c>
      <c r="E1119" s="2" t="str">
        <f>HYPERLINK("http://www.intercariforef.org/formations/certification-101345.html","101345")</f>
        <v>101345</v>
      </c>
      <c r="F1119" s="3">
        <v>43256</v>
      </c>
      <c r="G1119" s="3">
        <v>43279</v>
      </c>
    </row>
    <row r="1120" spans="1:7" x14ac:dyDescent="0.3">
      <c r="A1120" s="1" t="s">
        <v>1136</v>
      </c>
      <c r="B1120" s="1" t="s">
        <v>1501</v>
      </c>
      <c r="C1120" s="1" t="s">
        <v>678</v>
      </c>
      <c r="D1120" s="2" t="str">
        <f>HYPERLINK("https://inventaire.cncp.gouv.fr/fiches/2676/","2676")</f>
        <v>2676</v>
      </c>
      <c r="E1120" s="2" t="str">
        <f>HYPERLINK("http://www.intercariforef.org/formations/certification-95453.html","95453")</f>
        <v>95453</v>
      </c>
      <c r="F1120" s="3">
        <v>42884</v>
      </c>
      <c r="G1120" s="3">
        <v>42884</v>
      </c>
    </row>
    <row r="1121" spans="1:7" ht="26.2" x14ac:dyDescent="0.3">
      <c r="A1121" s="1" t="s">
        <v>1136</v>
      </c>
      <c r="B1121" s="1" t="s">
        <v>1502</v>
      </c>
      <c r="C1121" s="1" t="s">
        <v>1503</v>
      </c>
      <c r="D1121" s="2" t="str">
        <f>HYPERLINK("https://inventaire.cncp.gouv.fr/fiches/2953/","2953")</f>
        <v>2953</v>
      </c>
      <c r="E1121" s="2" t="str">
        <f>HYPERLINK("http://www.intercariforef.org/formations/certification-97083.html","97083")</f>
        <v>97083</v>
      </c>
      <c r="F1121" s="3">
        <v>42978</v>
      </c>
      <c r="G1121" s="3">
        <v>42978</v>
      </c>
    </row>
    <row r="1122" spans="1:7" ht="26.2" x14ac:dyDescent="0.3">
      <c r="A1122" s="1" t="s">
        <v>1136</v>
      </c>
      <c r="B1122" s="1" t="s">
        <v>1504</v>
      </c>
      <c r="C1122" s="1" t="s">
        <v>1503</v>
      </c>
      <c r="D1122" s="2" t="str">
        <f>HYPERLINK("https://inventaire.cncp.gouv.fr/fiches/2949/","2949")</f>
        <v>2949</v>
      </c>
      <c r="E1122" s="2" t="str">
        <f>HYPERLINK("http://www.intercariforef.org/formations/certification-97089.html","97089")</f>
        <v>97089</v>
      </c>
      <c r="F1122" s="3">
        <v>42978</v>
      </c>
      <c r="G1122" s="3">
        <v>42978</v>
      </c>
    </row>
    <row r="1123" spans="1:7" x14ac:dyDescent="0.3">
      <c r="A1123" s="1" t="s">
        <v>1136</v>
      </c>
      <c r="B1123" s="1" t="s">
        <v>1505</v>
      </c>
      <c r="C1123" s="1" t="s">
        <v>1143</v>
      </c>
      <c r="D1123" s="2" t="str">
        <f>HYPERLINK("https://inventaire.cncp.gouv.fr/fiches/1774/","1774")</f>
        <v>1774</v>
      </c>
      <c r="E1123" s="2" t="str">
        <f>HYPERLINK("http://www.intercariforef.org/formations/certification-88485.html","88485")</f>
        <v>88485</v>
      </c>
      <c r="F1123" s="3">
        <v>42465</v>
      </c>
      <c r="G1123" s="3">
        <v>42465</v>
      </c>
    </row>
    <row r="1124" spans="1:7" x14ac:dyDescent="0.3">
      <c r="A1124" s="1" t="s">
        <v>1136</v>
      </c>
      <c r="B1124" s="1" t="s">
        <v>1506</v>
      </c>
      <c r="C1124" s="1" t="s">
        <v>208</v>
      </c>
      <c r="D1124" s="2" t="str">
        <f>HYPERLINK("https://inventaire.cncp.gouv.fr/fiches/3880/","3880")</f>
        <v>3880</v>
      </c>
      <c r="E1124" s="2" t="str">
        <f>HYPERLINK("http://www.intercariforef.org/formations/certification-103939.html","103939")</f>
        <v>103939</v>
      </c>
      <c r="F1124" s="3">
        <v>43390</v>
      </c>
      <c r="G1124" s="3">
        <v>43390</v>
      </c>
    </row>
    <row r="1125" spans="1:7" x14ac:dyDescent="0.3">
      <c r="A1125" s="1" t="s">
        <v>1136</v>
      </c>
      <c r="B1125" s="1" t="s">
        <v>946</v>
      </c>
      <c r="C1125" s="1" t="s">
        <v>1507</v>
      </c>
      <c r="D1125" s="2" t="str">
        <f>HYPERLINK("https://inventaire.cncp.gouv.fr/fiches/1975/","1975")</f>
        <v>1975</v>
      </c>
      <c r="E1125" s="2" t="str">
        <f>HYPERLINK("http://www.intercariforef.org/formations/certification-90155.html","90155")</f>
        <v>90155</v>
      </c>
      <c r="F1125" s="3">
        <v>42562</v>
      </c>
      <c r="G1125" s="3">
        <v>42562</v>
      </c>
    </row>
    <row r="1126" spans="1:7" x14ac:dyDescent="0.3">
      <c r="A1126" s="1" t="s">
        <v>1136</v>
      </c>
      <c r="B1126" s="1" t="s">
        <v>1508</v>
      </c>
      <c r="C1126" s="1" t="s">
        <v>707</v>
      </c>
      <c r="D1126" s="2" t="str">
        <f>HYPERLINK("https://inventaire.cncp.gouv.fr/fiches/2221/","2221")</f>
        <v>2221</v>
      </c>
      <c r="E1126" s="2" t="str">
        <f>HYPERLINK("http://www.intercariforef.org/formations/certification-92153.html","92153")</f>
        <v>92153</v>
      </c>
      <c r="F1126" s="3">
        <v>42667</v>
      </c>
      <c r="G1126" s="3">
        <v>42718</v>
      </c>
    </row>
    <row r="1127" spans="1:7" x14ac:dyDescent="0.3">
      <c r="A1127" s="1" t="s">
        <v>1136</v>
      </c>
      <c r="B1127" s="1" t="s">
        <v>1509</v>
      </c>
      <c r="C1127" s="1" t="s">
        <v>208</v>
      </c>
      <c r="D1127" s="2" t="str">
        <f>HYPERLINK("https://inventaire.cncp.gouv.fr/fiches/2960/","2960")</f>
        <v>2960</v>
      </c>
      <c r="E1127" s="2" t="str">
        <f>HYPERLINK("http://www.intercariforef.org/formations/certification-96519.html","96519")</f>
        <v>96519</v>
      </c>
      <c r="F1127" s="3">
        <v>42928</v>
      </c>
      <c r="G1127" s="3">
        <v>42928</v>
      </c>
    </row>
    <row r="1128" spans="1:7" x14ac:dyDescent="0.3">
      <c r="A1128" s="1" t="s">
        <v>1136</v>
      </c>
      <c r="B1128" s="1" t="s">
        <v>1510</v>
      </c>
      <c r="C1128" s="1" t="s">
        <v>1511</v>
      </c>
      <c r="D1128" s="2" t="str">
        <f>HYPERLINK("https://inventaire.cncp.gouv.fr/fiches/1611/","1611")</f>
        <v>1611</v>
      </c>
      <c r="E1128" s="2" t="str">
        <f>HYPERLINK("http://www.intercariforef.org/formations/certification-90065.html","90065")</f>
        <v>90065</v>
      </c>
      <c r="F1128" s="3">
        <v>42559</v>
      </c>
      <c r="G1128" s="3">
        <v>43006</v>
      </c>
    </row>
    <row r="1129" spans="1:7" x14ac:dyDescent="0.3">
      <c r="A1129" s="1" t="s">
        <v>1136</v>
      </c>
      <c r="B1129" s="1" t="s">
        <v>1512</v>
      </c>
      <c r="C1129" s="1" t="s">
        <v>1252</v>
      </c>
      <c r="D1129" s="2" t="str">
        <f>HYPERLINK("https://inventaire.cncp.gouv.fr/fiches/3853/","3853")</f>
        <v>3853</v>
      </c>
      <c r="E1129" s="2" t="str">
        <f>HYPERLINK("http://www.intercariforef.org/formations/certification-104139.html","104139")</f>
        <v>104139</v>
      </c>
      <c r="F1129" s="3">
        <v>43398</v>
      </c>
      <c r="G1129" s="3">
        <v>43398</v>
      </c>
    </row>
    <row r="1130" spans="1:7" x14ac:dyDescent="0.3">
      <c r="A1130" s="1" t="s">
        <v>1136</v>
      </c>
      <c r="B1130" s="1" t="s">
        <v>1513</v>
      </c>
      <c r="C1130" s="1" t="s">
        <v>1129</v>
      </c>
      <c r="D1130" s="2" t="str">
        <f>HYPERLINK("https://inventaire.cncp.gouv.fr/fiches/3727/","3727")</f>
        <v>3727</v>
      </c>
      <c r="E1130" s="2" t="str">
        <f>HYPERLINK("http://www.intercariforef.org/formations/certification-104155.html","104155")</f>
        <v>104155</v>
      </c>
      <c r="F1130" s="3">
        <v>43398</v>
      </c>
      <c r="G1130" s="3">
        <v>43398</v>
      </c>
    </row>
    <row r="1131" spans="1:7" ht="26.2" x14ac:dyDescent="0.3">
      <c r="A1131" s="1" t="s">
        <v>1136</v>
      </c>
      <c r="B1131" s="1" t="s">
        <v>1514</v>
      </c>
      <c r="C1131" s="1" t="s">
        <v>411</v>
      </c>
      <c r="D1131" s="2" t="str">
        <f>HYPERLINK("https://inventaire.cncp.gouv.fr/fiches/2261/","2261")</f>
        <v>2261</v>
      </c>
      <c r="E1131" s="2" t="str">
        <f>HYPERLINK("http://www.intercariforef.org/formations/certification-93983.html","93983")</f>
        <v>93983</v>
      </c>
      <c r="F1131" s="3">
        <v>42745</v>
      </c>
      <c r="G1131" s="3">
        <v>42745</v>
      </c>
    </row>
    <row r="1132" spans="1:7" x14ac:dyDescent="0.3">
      <c r="A1132" s="1" t="s">
        <v>1136</v>
      </c>
      <c r="B1132" s="1" t="s">
        <v>1515</v>
      </c>
      <c r="C1132" s="1" t="s">
        <v>689</v>
      </c>
      <c r="D1132" s="2" t="str">
        <f>HYPERLINK("https://inventaire.cncp.gouv.fr/fiches/3277/","3277")</f>
        <v>3277</v>
      </c>
      <c r="E1132" s="2" t="str">
        <f>HYPERLINK("http://www.intercariforef.org/formations/certification-100179.html","100179")</f>
        <v>100179</v>
      </c>
      <c r="F1132" s="3">
        <v>43154</v>
      </c>
      <c r="G1132" s="3">
        <v>43154</v>
      </c>
    </row>
    <row r="1133" spans="1:7" x14ac:dyDescent="0.3">
      <c r="A1133" s="1" t="s">
        <v>1136</v>
      </c>
      <c r="B1133" s="1" t="s">
        <v>1516</v>
      </c>
      <c r="C1133" s="1" t="s">
        <v>411</v>
      </c>
      <c r="D1133" s="2" t="str">
        <f>HYPERLINK("https://inventaire.cncp.gouv.fr/fiches/1025/","1025")</f>
        <v>1025</v>
      </c>
      <c r="E1133" s="2" t="str">
        <f>HYPERLINK("http://www.intercariforef.org/formations/certification-85024.html","85024")</f>
        <v>85024</v>
      </c>
      <c r="F1133" s="3">
        <v>42185</v>
      </c>
      <c r="G1133" s="3">
        <v>42185</v>
      </c>
    </row>
    <row r="1134" spans="1:7" x14ac:dyDescent="0.3">
      <c r="A1134" s="1" t="s">
        <v>1136</v>
      </c>
      <c r="B1134" s="1" t="s">
        <v>1517</v>
      </c>
      <c r="C1134" s="1" t="s">
        <v>411</v>
      </c>
      <c r="D1134" s="2" t="str">
        <f>HYPERLINK("https://inventaire.cncp.gouv.fr/fiches/826/","826")</f>
        <v>826</v>
      </c>
      <c r="E1134" s="2" t="str">
        <f>HYPERLINK("http://www.intercariforef.org/formations/certification-85002.html","85002")</f>
        <v>85002</v>
      </c>
      <c r="F1134" s="3">
        <v>42184</v>
      </c>
      <c r="G1134" s="3">
        <v>42184</v>
      </c>
    </row>
    <row r="1135" spans="1:7" x14ac:dyDescent="0.3">
      <c r="A1135" s="1" t="s">
        <v>1136</v>
      </c>
      <c r="B1135" s="1" t="s">
        <v>1518</v>
      </c>
      <c r="C1135" s="1" t="s">
        <v>411</v>
      </c>
      <c r="D1135" s="2" t="str">
        <f>HYPERLINK("https://inventaire.cncp.gouv.fr/fiches/3242/","3242")</f>
        <v>3242</v>
      </c>
      <c r="E1135" s="2" t="str">
        <f>HYPERLINK("http://www.intercariforef.org/formations/certification-100113.html","100113")</f>
        <v>100113</v>
      </c>
      <c r="F1135" s="3">
        <v>43153</v>
      </c>
      <c r="G1135" s="3">
        <v>43153</v>
      </c>
    </row>
    <row r="1136" spans="1:7" x14ac:dyDescent="0.3">
      <c r="A1136" s="1" t="s">
        <v>1136</v>
      </c>
      <c r="B1136" s="1" t="s">
        <v>1519</v>
      </c>
      <c r="C1136" s="1" t="s">
        <v>411</v>
      </c>
      <c r="D1136" s="2" t="str">
        <f>HYPERLINK("https://inventaire.cncp.gouv.fr/fiches/1017/","1017")</f>
        <v>1017</v>
      </c>
      <c r="E1136" s="2" t="str">
        <f>HYPERLINK("http://www.intercariforef.org/formations/certification-85011.html","85011")</f>
        <v>85011</v>
      </c>
      <c r="F1136" s="3">
        <v>42184</v>
      </c>
      <c r="G1136" s="3">
        <v>42184</v>
      </c>
    </row>
    <row r="1137" spans="1:7" x14ac:dyDescent="0.3">
      <c r="A1137" s="1" t="s">
        <v>1136</v>
      </c>
      <c r="B1137" s="1" t="s">
        <v>1520</v>
      </c>
      <c r="C1137" s="1" t="s">
        <v>411</v>
      </c>
      <c r="D1137" s="2" t="str">
        <f>HYPERLINK("https://inventaire.cncp.gouv.fr/fiches/2439/","2439")</f>
        <v>2439</v>
      </c>
      <c r="E1137" s="2" t="str">
        <f>HYPERLINK("http://www.intercariforef.org/formations/certification-94991.html","94991")</f>
        <v>94991</v>
      </c>
      <c r="F1137" s="3">
        <v>42838</v>
      </c>
      <c r="G1137" s="3">
        <v>42838</v>
      </c>
    </row>
    <row r="1138" spans="1:7" x14ac:dyDescent="0.3">
      <c r="A1138" s="1" t="s">
        <v>1136</v>
      </c>
      <c r="B1138" s="1" t="s">
        <v>1521</v>
      </c>
      <c r="C1138" s="1" t="s">
        <v>411</v>
      </c>
      <c r="D1138" s="2" t="str">
        <f>HYPERLINK("https://inventaire.cncp.gouv.fr/fiches/1035/","1035")</f>
        <v>1035</v>
      </c>
      <c r="E1138" s="2" t="str">
        <f>HYPERLINK("http://www.intercariforef.org/formations/certification-85025.html","85025")</f>
        <v>85025</v>
      </c>
      <c r="F1138" s="3">
        <v>42185</v>
      </c>
      <c r="G1138" s="3">
        <v>42185</v>
      </c>
    </row>
    <row r="1139" spans="1:7" x14ac:dyDescent="0.3">
      <c r="A1139" s="1" t="s">
        <v>1136</v>
      </c>
      <c r="B1139" s="1" t="s">
        <v>1522</v>
      </c>
      <c r="C1139" s="1" t="s">
        <v>411</v>
      </c>
      <c r="D1139" s="2" t="str">
        <f>HYPERLINK("https://inventaire.cncp.gouv.fr/fiches/829/","829")</f>
        <v>829</v>
      </c>
      <c r="E1139" s="2" t="str">
        <f>HYPERLINK("http://www.intercariforef.org/formations/certification-84995.html","84995")</f>
        <v>84995</v>
      </c>
      <c r="F1139" s="3">
        <v>42184</v>
      </c>
      <c r="G1139" s="3">
        <v>42184</v>
      </c>
    </row>
    <row r="1140" spans="1:7" x14ac:dyDescent="0.3">
      <c r="A1140" s="1" t="s">
        <v>1136</v>
      </c>
      <c r="B1140" s="1" t="s">
        <v>1523</v>
      </c>
      <c r="C1140" s="1" t="s">
        <v>411</v>
      </c>
      <c r="D1140" s="2" t="str">
        <f>HYPERLINK("https://inventaire.cncp.gouv.fr/fiches/1950/","1950")</f>
        <v>1950</v>
      </c>
      <c r="E1140" s="2" t="str">
        <f>HYPERLINK("http://www.intercariforef.org/formations/certification-90115.html","90115")</f>
        <v>90115</v>
      </c>
      <c r="F1140" s="3">
        <v>42562</v>
      </c>
      <c r="G1140" s="3">
        <v>42718</v>
      </c>
    </row>
    <row r="1141" spans="1:7" x14ac:dyDescent="0.3">
      <c r="A1141" s="1" t="s">
        <v>1136</v>
      </c>
      <c r="B1141" s="1" t="s">
        <v>1524</v>
      </c>
      <c r="C1141" s="1" t="s">
        <v>411</v>
      </c>
      <c r="D1141" s="2" t="str">
        <f>HYPERLINK("https://inventaire.cncp.gouv.fr/fiches/1281/","1281")</f>
        <v>1281</v>
      </c>
      <c r="E1141" s="2" t="str">
        <f>HYPERLINK("http://www.intercariforef.org/formations/certification-90137.html","90137")</f>
        <v>90137</v>
      </c>
      <c r="F1141" s="3">
        <v>42562</v>
      </c>
      <c r="G1141" s="3">
        <v>42718</v>
      </c>
    </row>
    <row r="1142" spans="1:7" x14ac:dyDescent="0.3">
      <c r="A1142" s="1" t="s">
        <v>1136</v>
      </c>
      <c r="B1142" s="1" t="s">
        <v>1525</v>
      </c>
      <c r="C1142" s="1" t="s">
        <v>411</v>
      </c>
      <c r="D1142" s="2" t="str">
        <f>HYPERLINK("https://inventaire.cncp.gouv.fr/fiches/1293/","1293")</f>
        <v>1293</v>
      </c>
      <c r="E1142" s="2" t="str">
        <f>HYPERLINK("http://www.intercariforef.org/formations/certification-88371.html","88371")</f>
        <v>88371</v>
      </c>
      <c r="F1142" s="3">
        <v>42460</v>
      </c>
      <c r="G1142" s="3">
        <v>42718</v>
      </c>
    </row>
    <row r="1143" spans="1:7" x14ac:dyDescent="0.3">
      <c r="A1143" s="1" t="s">
        <v>1136</v>
      </c>
      <c r="B1143" s="1" t="s">
        <v>1526</v>
      </c>
      <c r="C1143" s="1" t="s">
        <v>411</v>
      </c>
      <c r="D1143" s="2" t="str">
        <f>HYPERLINK("https://inventaire.cncp.gouv.fr/fiches/2529/","2529")</f>
        <v>2529</v>
      </c>
      <c r="E1143" s="2" t="str">
        <f>HYPERLINK("http://www.intercariforef.org/formations/certification-94953.html","94953")</f>
        <v>94953</v>
      </c>
      <c r="F1143" s="3">
        <v>42837</v>
      </c>
      <c r="G1143" s="3">
        <v>42837</v>
      </c>
    </row>
    <row r="1144" spans="1:7" x14ac:dyDescent="0.3">
      <c r="A1144" s="1" t="s">
        <v>1136</v>
      </c>
      <c r="B1144" s="1" t="s">
        <v>1527</v>
      </c>
      <c r="C1144" s="1" t="s">
        <v>411</v>
      </c>
      <c r="D1144" s="2" t="str">
        <f>HYPERLINK("https://inventaire.cncp.gouv.fr/fiches/632/","632")</f>
        <v>632</v>
      </c>
      <c r="E1144" s="2" t="str">
        <f>HYPERLINK("http://www.intercariforef.org/formations/certification-84935.html","84935")</f>
        <v>84935</v>
      </c>
      <c r="F1144" s="3">
        <v>42178</v>
      </c>
      <c r="G1144" s="3">
        <v>42178</v>
      </c>
    </row>
    <row r="1145" spans="1:7" x14ac:dyDescent="0.3">
      <c r="A1145" s="1" t="s">
        <v>1136</v>
      </c>
      <c r="B1145" s="1" t="s">
        <v>1528</v>
      </c>
      <c r="C1145" s="1" t="s">
        <v>411</v>
      </c>
      <c r="D1145" s="2" t="str">
        <f>HYPERLINK("https://inventaire.cncp.gouv.fr/fiches/1941/","1941")</f>
        <v>1941</v>
      </c>
      <c r="E1145" s="2" t="str">
        <f>HYPERLINK("http://www.intercariforef.org/formations/certification-90121.html","90121")</f>
        <v>90121</v>
      </c>
      <c r="F1145" s="3">
        <v>42562</v>
      </c>
      <c r="G1145" s="3">
        <v>42718</v>
      </c>
    </row>
    <row r="1146" spans="1:7" x14ac:dyDescent="0.3">
      <c r="A1146" s="1" t="s">
        <v>1136</v>
      </c>
      <c r="B1146" s="1" t="s">
        <v>1529</v>
      </c>
      <c r="C1146" s="1" t="s">
        <v>411</v>
      </c>
      <c r="D1146" s="2" t="str">
        <f>HYPERLINK("https://inventaire.cncp.gouv.fr/fiches/2000/","2000")</f>
        <v>2000</v>
      </c>
      <c r="E1146" s="2" t="str">
        <f>HYPERLINK("http://www.intercariforef.org/formations/certification-90105.html","90105")</f>
        <v>90105</v>
      </c>
      <c r="F1146" s="3">
        <v>42562</v>
      </c>
      <c r="G1146" s="3">
        <v>42718</v>
      </c>
    </row>
    <row r="1147" spans="1:7" x14ac:dyDescent="0.3">
      <c r="A1147" s="1" t="s">
        <v>1136</v>
      </c>
      <c r="B1147" s="1" t="s">
        <v>1530</v>
      </c>
      <c r="C1147" s="1" t="s">
        <v>411</v>
      </c>
      <c r="D1147" s="2" t="str">
        <f>HYPERLINK("https://inventaire.cncp.gouv.fr/fiches/883/","883")</f>
        <v>883</v>
      </c>
      <c r="E1147" s="2" t="str">
        <f>HYPERLINK("http://www.intercariforef.org/formations/certification-85005.html","85005")</f>
        <v>85005</v>
      </c>
      <c r="F1147" s="3">
        <v>42184</v>
      </c>
      <c r="G1147" s="3">
        <v>42718</v>
      </c>
    </row>
    <row r="1148" spans="1:7" x14ac:dyDescent="0.3">
      <c r="A1148" s="1" t="s">
        <v>1136</v>
      </c>
      <c r="B1148" s="1" t="s">
        <v>1531</v>
      </c>
      <c r="C1148" s="1" t="s">
        <v>411</v>
      </c>
      <c r="D1148" s="2" t="str">
        <f>HYPERLINK("https://inventaire.cncp.gouv.fr/fiches/996/","996")</f>
        <v>996</v>
      </c>
      <c r="E1148" s="2" t="str">
        <f>HYPERLINK("http://www.intercariforef.org/formations/certification-85006.html","85006")</f>
        <v>85006</v>
      </c>
      <c r="F1148" s="3">
        <v>42184</v>
      </c>
      <c r="G1148" s="3">
        <v>42184</v>
      </c>
    </row>
    <row r="1149" spans="1:7" x14ac:dyDescent="0.3">
      <c r="A1149" s="1" t="s">
        <v>1136</v>
      </c>
      <c r="B1149" s="1" t="s">
        <v>1532</v>
      </c>
      <c r="C1149" s="1" t="s">
        <v>411</v>
      </c>
      <c r="D1149" s="2" t="str">
        <f>HYPERLINK("https://inventaire.cncp.gouv.fr/fiches/3353/","3353")</f>
        <v>3353</v>
      </c>
      <c r="E1149" s="2" t="str">
        <f>HYPERLINK("http://www.intercariforef.org/formations/certification-100045.html","100045")</f>
        <v>100045</v>
      </c>
      <c r="F1149" s="3">
        <v>43152</v>
      </c>
      <c r="G1149" s="3">
        <v>43153</v>
      </c>
    </row>
    <row r="1150" spans="1:7" x14ac:dyDescent="0.3">
      <c r="A1150" s="1" t="s">
        <v>1136</v>
      </c>
      <c r="B1150" s="1" t="s">
        <v>1533</v>
      </c>
      <c r="C1150" s="1" t="s">
        <v>411</v>
      </c>
      <c r="D1150" s="2" t="str">
        <f>HYPERLINK("https://inventaire.cncp.gouv.fr/fiches/1286/","1286")</f>
        <v>1286</v>
      </c>
      <c r="E1150" s="2" t="str">
        <f>HYPERLINK("http://www.intercariforef.org/formations/certification-90133.html","90133")</f>
        <v>90133</v>
      </c>
      <c r="F1150" s="3">
        <v>42562</v>
      </c>
      <c r="G1150" s="3">
        <v>42718</v>
      </c>
    </row>
    <row r="1151" spans="1:7" x14ac:dyDescent="0.3">
      <c r="A1151" s="1" t="s">
        <v>1136</v>
      </c>
      <c r="B1151" s="1" t="s">
        <v>1534</v>
      </c>
      <c r="C1151" s="1" t="s">
        <v>411</v>
      </c>
      <c r="D1151" s="2" t="str">
        <f>HYPERLINK("https://inventaire.cncp.gouv.fr/fiches/1019/","1019")</f>
        <v>1019</v>
      </c>
      <c r="E1151" s="2" t="str">
        <f>HYPERLINK("http://www.intercariforef.org/formations/certification-84998.html","84998")</f>
        <v>84998</v>
      </c>
      <c r="F1151" s="3">
        <v>42184</v>
      </c>
      <c r="G1151" s="3">
        <v>42184</v>
      </c>
    </row>
    <row r="1152" spans="1:7" x14ac:dyDescent="0.3">
      <c r="A1152" s="1" t="s">
        <v>1136</v>
      </c>
      <c r="B1152" s="1" t="s">
        <v>1535</v>
      </c>
      <c r="C1152" s="1" t="s">
        <v>411</v>
      </c>
      <c r="D1152" s="2" t="str">
        <f>HYPERLINK("https://inventaire.cncp.gouv.fr/fiches/1005/","1005")</f>
        <v>1005</v>
      </c>
      <c r="E1152" s="2" t="str">
        <f>HYPERLINK("http://www.intercariforef.org/formations/certification-85010.html","85010")</f>
        <v>85010</v>
      </c>
      <c r="F1152" s="3">
        <v>42184</v>
      </c>
      <c r="G1152" s="3">
        <v>42184</v>
      </c>
    </row>
    <row r="1153" spans="1:7" x14ac:dyDescent="0.3">
      <c r="A1153" s="1" t="s">
        <v>1136</v>
      </c>
      <c r="B1153" s="1" t="s">
        <v>1536</v>
      </c>
      <c r="C1153" s="1" t="s">
        <v>411</v>
      </c>
      <c r="D1153" s="2" t="str">
        <f>HYPERLINK("https://inventaire.cncp.gouv.fr/fiches/1908/","1908")</f>
        <v>1908</v>
      </c>
      <c r="E1153" s="2" t="str">
        <f>HYPERLINK("http://www.intercariforef.org/formations/certification-90127.html","90127")</f>
        <v>90127</v>
      </c>
      <c r="F1153" s="3">
        <v>42562</v>
      </c>
      <c r="G1153" s="3">
        <v>42718</v>
      </c>
    </row>
    <row r="1154" spans="1:7" x14ac:dyDescent="0.3">
      <c r="A1154" s="1" t="s">
        <v>1136</v>
      </c>
      <c r="B1154" s="1" t="s">
        <v>1537</v>
      </c>
      <c r="C1154" s="1" t="s">
        <v>411</v>
      </c>
      <c r="D1154" s="2" t="str">
        <f>HYPERLINK("https://inventaire.cncp.gouv.fr/fiches/2238/","2238")</f>
        <v>2238</v>
      </c>
      <c r="E1154" s="2" t="str">
        <f>HYPERLINK("http://www.intercariforef.org/formations/certification-95005.html","95005")</f>
        <v>95005</v>
      </c>
      <c r="F1154" s="3">
        <v>42838</v>
      </c>
      <c r="G1154" s="3">
        <v>42838</v>
      </c>
    </row>
    <row r="1155" spans="1:7" x14ac:dyDescent="0.3">
      <c r="A1155" s="1" t="s">
        <v>1136</v>
      </c>
      <c r="B1155" s="1" t="s">
        <v>1538</v>
      </c>
      <c r="C1155" s="1" t="s">
        <v>411</v>
      </c>
      <c r="D1155" s="2" t="str">
        <f>HYPERLINK("https://inventaire.cncp.gouv.fr/fiches/2374/","2374")</f>
        <v>2374</v>
      </c>
      <c r="E1155" s="2" t="str">
        <f>HYPERLINK("http://www.intercariforef.org/formations/certification-94997.html","94997")</f>
        <v>94997</v>
      </c>
      <c r="F1155" s="3">
        <v>42838</v>
      </c>
      <c r="G1155" s="3">
        <v>42838</v>
      </c>
    </row>
    <row r="1156" spans="1:7" ht="26.2" x14ac:dyDescent="0.3">
      <c r="A1156" s="1" t="s">
        <v>1136</v>
      </c>
      <c r="B1156" s="1" t="s">
        <v>1539</v>
      </c>
      <c r="C1156" s="1" t="s">
        <v>1540</v>
      </c>
      <c r="D1156" s="2" t="str">
        <f>HYPERLINK("https://inventaire.cncp.gouv.fr/fiches/1274/","1274")</f>
        <v>1274</v>
      </c>
      <c r="E1156" s="2" t="str">
        <f>HYPERLINK("http://www.intercariforef.org/formations/certification-85594.html","85594")</f>
        <v>85594</v>
      </c>
      <c r="F1156" s="3">
        <v>42269</v>
      </c>
      <c r="G1156" s="3">
        <v>42269</v>
      </c>
    </row>
    <row r="1157" spans="1:7" x14ac:dyDescent="0.3">
      <c r="A1157" s="1" t="s">
        <v>1136</v>
      </c>
      <c r="B1157" s="1" t="s">
        <v>1541</v>
      </c>
      <c r="C1157" s="1" t="s">
        <v>411</v>
      </c>
      <c r="D1157" s="2" t="str">
        <f>HYPERLINK("https://inventaire.cncp.gouv.fr/fiches/863/","863")</f>
        <v>863</v>
      </c>
      <c r="E1157" s="2" t="str">
        <f>HYPERLINK("http://www.intercariforef.org/formations/certification-85036.html","85036")</f>
        <v>85036</v>
      </c>
      <c r="F1157" s="3">
        <v>42185</v>
      </c>
      <c r="G1157" s="3">
        <v>42718</v>
      </c>
    </row>
    <row r="1158" spans="1:7" x14ac:dyDescent="0.3">
      <c r="A1158" s="1" t="s">
        <v>1136</v>
      </c>
      <c r="B1158" s="1" t="s">
        <v>1542</v>
      </c>
      <c r="C1158" s="1" t="s">
        <v>411</v>
      </c>
      <c r="D1158" s="2" t="str">
        <f>HYPERLINK("https://inventaire.cncp.gouv.fr/fiches/811/","811")</f>
        <v>811</v>
      </c>
      <c r="E1158" s="2" t="str">
        <f>HYPERLINK("http://www.intercariforef.org/formations/certification-85008.html","85008")</f>
        <v>85008</v>
      </c>
      <c r="F1158" s="3">
        <v>42184</v>
      </c>
      <c r="G1158" s="3">
        <v>42718</v>
      </c>
    </row>
    <row r="1159" spans="1:7" x14ac:dyDescent="0.3">
      <c r="A1159" s="1" t="s">
        <v>1136</v>
      </c>
      <c r="B1159" s="1" t="s">
        <v>1543</v>
      </c>
      <c r="C1159" s="1" t="s">
        <v>411</v>
      </c>
      <c r="D1159" s="2" t="str">
        <f>HYPERLINK("https://inventaire.cncp.gouv.fr/fiches/856/","856")</f>
        <v>856</v>
      </c>
      <c r="E1159" s="2" t="str">
        <f>HYPERLINK("http://www.intercariforef.org/formations/certification-84994.html","84994")</f>
        <v>84994</v>
      </c>
      <c r="F1159" s="3">
        <v>42184</v>
      </c>
      <c r="G1159" s="3">
        <v>42718</v>
      </c>
    </row>
    <row r="1160" spans="1:7" x14ac:dyDescent="0.3">
      <c r="A1160" s="1" t="s">
        <v>1136</v>
      </c>
      <c r="B1160" s="1" t="s">
        <v>1544</v>
      </c>
      <c r="C1160" s="1" t="s">
        <v>411</v>
      </c>
      <c r="D1160" s="2" t="str">
        <f>HYPERLINK("https://inventaire.cncp.gouv.fr/fiches/3062/","3062")</f>
        <v>3062</v>
      </c>
      <c r="E1160" s="2" t="str">
        <f>HYPERLINK("http://www.intercariforef.org/formations/certification-100143.html","100143")</f>
        <v>100143</v>
      </c>
      <c r="F1160" s="3">
        <v>43153</v>
      </c>
      <c r="G1160" s="3">
        <v>43153</v>
      </c>
    </row>
    <row r="1161" spans="1:7" ht="26.2" x14ac:dyDescent="0.3">
      <c r="A1161" s="1" t="s">
        <v>1136</v>
      </c>
      <c r="B1161" s="1" t="s">
        <v>1545</v>
      </c>
      <c r="C1161" s="1" t="s">
        <v>1540</v>
      </c>
      <c r="D1161" s="2" t="str">
        <f>HYPERLINK("https://inventaire.cncp.gouv.fr/fiches/1193/","1193")</f>
        <v>1193</v>
      </c>
      <c r="E1161" s="2" t="str">
        <f>HYPERLINK("http://www.intercariforef.org/formations/certification-85605.html","85605")</f>
        <v>85605</v>
      </c>
      <c r="F1161" s="3">
        <v>42269</v>
      </c>
      <c r="G1161" s="3">
        <v>42718</v>
      </c>
    </row>
    <row r="1162" spans="1:7" ht="26.2" x14ac:dyDescent="0.3">
      <c r="A1162" s="1" t="s">
        <v>1136</v>
      </c>
      <c r="B1162" s="1" t="s">
        <v>1546</v>
      </c>
      <c r="C1162" s="1" t="s">
        <v>1540</v>
      </c>
      <c r="D1162" s="2" t="str">
        <f>HYPERLINK("https://inventaire.cncp.gouv.fr/fiches/1192/","1192")</f>
        <v>1192</v>
      </c>
      <c r="E1162" s="2" t="str">
        <f>HYPERLINK("http://www.intercariforef.org/formations/certification-85608.html","85608")</f>
        <v>85608</v>
      </c>
      <c r="F1162" s="3">
        <v>42269</v>
      </c>
      <c r="G1162" s="3">
        <v>42718</v>
      </c>
    </row>
    <row r="1163" spans="1:7" x14ac:dyDescent="0.3">
      <c r="A1163" s="1" t="s">
        <v>1136</v>
      </c>
      <c r="B1163" s="1" t="s">
        <v>1547</v>
      </c>
      <c r="C1163" s="1" t="s">
        <v>411</v>
      </c>
      <c r="D1163" s="2" t="str">
        <f>HYPERLINK("https://inventaire.cncp.gouv.fr/fiches/812/","812")</f>
        <v>812</v>
      </c>
      <c r="E1163" s="2" t="str">
        <f>HYPERLINK("http://www.intercariforef.org/formations/certification-85016.html","85016")</f>
        <v>85016</v>
      </c>
      <c r="F1163" s="3">
        <v>42184</v>
      </c>
      <c r="G1163" s="3">
        <v>42718</v>
      </c>
    </row>
    <row r="1164" spans="1:7" ht="26.2" x14ac:dyDescent="0.3">
      <c r="A1164" s="1" t="s">
        <v>1136</v>
      </c>
      <c r="B1164" s="1" t="s">
        <v>1548</v>
      </c>
      <c r="C1164" s="1" t="s">
        <v>1540</v>
      </c>
      <c r="D1164" s="2" t="str">
        <f>HYPERLINK("https://inventaire.cncp.gouv.fr/fiches/1291/","1291")</f>
        <v>1291</v>
      </c>
      <c r="E1164" s="2" t="str">
        <f>HYPERLINK("http://www.intercariforef.org/formations/certification-85590.html","85590")</f>
        <v>85590</v>
      </c>
      <c r="F1164" s="3">
        <v>42269</v>
      </c>
      <c r="G1164" s="3">
        <v>42269</v>
      </c>
    </row>
    <row r="1165" spans="1:7" x14ac:dyDescent="0.3">
      <c r="A1165" s="1" t="s">
        <v>1136</v>
      </c>
      <c r="B1165" s="1" t="s">
        <v>1549</v>
      </c>
      <c r="C1165" s="1" t="s">
        <v>411</v>
      </c>
      <c r="D1165" s="2" t="str">
        <f>HYPERLINK("https://inventaire.cncp.gouv.fr/fiches/2262/","2262")</f>
        <v>2262</v>
      </c>
      <c r="E1165" s="2" t="str">
        <f>HYPERLINK("http://www.intercariforef.org/formations/certification-94093.html","94093")</f>
        <v>94093</v>
      </c>
      <c r="F1165" s="3">
        <v>42760</v>
      </c>
      <c r="G1165" s="3">
        <v>42979</v>
      </c>
    </row>
    <row r="1166" spans="1:7" x14ac:dyDescent="0.3">
      <c r="A1166" s="1" t="s">
        <v>1136</v>
      </c>
      <c r="B1166" s="1" t="s">
        <v>1550</v>
      </c>
      <c r="C1166" s="1" t="s">
        <v>411</v>
      </c>
      <c r="D1166" s="2" t="str">
        <f>HYPERLINK("https://inventaire.cncp.gouv.fr/fiches/1954/","1954")</f>
        <v>1954</v>
      </c>
      <c r="E1166" s="2" t="str">
        <f>HYPERLINK("http://www.intercariforef.org/formations/certification-90111.html","90111")</f>
        <v>90111</v>
      </c>
      <c r="F1166" s="3">
        <v>42562</v>
      </c>
      <c r="G1166" s="3">
        <v>42718</v>
      </c>
    </row>
    <row r="1167" spans="1:7" x14ac:dyDescent="0.3">
      <c r="A1167" s="1" t="s">
        <v>1136</v>
      </c>
      <c r="B1167" s="1" t="s">
        <v>1551</v>
      </c>
      <c r="C1167" s="1" t="s">
        <v>411</v>
      </c>
      <c r="D1167" s="2" t="str">
        <f>HYPERLINK("https://inventaire.cncp.gouv.fr/fiches/1021/","1021")</f>
        <v>1021</v>
      </c>
      <c r="E1167" s="2" t="str">
        <f>HYPERLINK("http://www.intercariforef.org/formations/certification-85022.html","85022")</f>
        <v>85022</v>
      </c>
      <c r="F1167" s="3">
        <v>42184</v>
      </c>
      <c r="G1167" s="3">
        <v>42718</v>
      </c>
    </row>
    <row r="1168" spans="1:7" x14ac:dyDescent="0.3">
      <c r="A1168" s="1" t="s">
        <v>1136</v>
      </c>
      <c r="B1168" s="1" t="s">
        <v>1552</v>
      </c>
      <c r="C1168" s="1" t="s">
        <v>411</v>
      </c>
      <c r="D1168" s="2" t="str">
        <f>HYPERLINK("https://inventaire.cncp.gouv.fr/fiches/911/","911")</f>
        <v>911</v>
      </c>
      <c r="E1168" s="2" t="str">
        <f>HYPERLINK("http://www.intercariforef.org/formations/certification-85034.html","85034")</f>
        <v>85034</v>
      </c>
      <c r="F1168" s="3">
        <v>42185</v>
      </c>
      <c r="G1168" s="3">
        <v>42185</v>
      </c>
    </row>
    <row r="1169" spans="1:7" x14ac:dyDescent="0.3">
      <c r="A1169" s="1" t="s">
        <v>1136</v>
      </c>
      <c r="B1169" s="1" t="s">
        <v>1553</v>
      </c>
      <c r="C1169" s="1" t="s">
        <v>411</v>
      </c>
      <c r="D1169" s="2" t="str">
        <f>HYPERLINK("https://inventaire.cncp.gouv.fr/fiches/2239/","2239")</f>
        <v>2239</v>
      </c>
      <c r="E1169" s="2" t="str">
        <f>HYPERLINK("http://www.intercariforef.org/formations/certification-95003.html","95003")</f>
        <v>95003</v>
      </c>
      <c r="F1169" s="3">
        <v>42838</v>
      </c>
      <c r="G1169" s="3">
        <v>42838</v>
      </c>
    </row>
    <row r="1170" spans="1:7" x14ac:dyDescent="0.3">
      <c r="A1170" s="1" t="s">
        <v>1136</v>
      </c>
      <c r="B1170" s="1" t="s">
        <v>1554</v>
      </c>
      <c r="C1170" s="1" t="s">
        <v>411</v>
      </c>
      <c r="D1170" s="2" t="str">
        <f>HYPERLINK("https://inventaire.cncp.gouv.fr/fiches/1563/","1563")</f>
        <v>1563</v>
      </c>
      <c r="E1170" s="2" t="str">
        <f>HYPERLINK("http://www.intercariforef.org/formations/certification-86358.html","86358")</f>
        <v>86358</v>
      </c>
      <c r="F1170" s="3">
        <v>42340</v>
      </c>
      <c r="G1170" s="3">
        <v>42340</v>
      </c>
    </row>
    <row r="1171" spans="1:7" ht="26.2" x14ac:dyDescent="0.3">
      <c r="A1171" s="1" t="s">
        <v>1136</v>
      </c>
      <c r="B1171" s="1" t="s">
        <v>1555</v>
      </c>
      <c r="C1171" s="1" t="s">
        <v>411</v>
      </c>
      <c r="D1171" s="2" t="str">
        <f>HYPERLINK("https://inventaire.cncp.gouv.fr/fiches/2386/","2386")</f>
        <v>2386</v>
      </c>
      <c r="E1171" s="2" t="str">
        <f>HYPERLINK("http://www.intercariforef.org/formations/certification-94993.html","94993")</f>
        <v>94993</v>
      </c>
      <c r="F1171" s="3">
        <v>42838</v>
      </c>
      <c r="G1171" s="3">
        <v>42838</v>
      </c>
    </row>
    <row r="1172" spans="1:7" x14ac:dyDescent="0.3">
      <c r="A1172" s="1" t="s">
        <v>1136</v>
      </c>
      <c r="B1172" s="1" t="s">
        <v>1556</v>
      </c>
      <c r="C1172" s="1" t="s">
        <v>411</v>
      </c>
      <c r="D1172" s="2" t="str">
        <f>HYPERLINK("https://inventaire.cncp.gouv.fr/fiches/1263/","1263")</f>
        <v>1263</v>
      </c>
      <c r="E1172" s="2" t="str">
        <f>HYPERLINK("http://www.intercariforef.org/formations/certification-90141.html","90141")</f>
        <v>90141</v>
      </c>
      <c r="F1172" s="3">
        <v>42562</v>
      </c>
      <c r="G1172" s="3">
        <v>42718</v>
      </c>
    </row>
    <row r="1173" spans="1:7" x14ac:dyDescent="0.3">
      <c r="A1173" s="1" t="s">
        <v>1136</v>
      </c>
      <c r="B1173" s="1" t="s">
        <v>1557</v>
      </c>
      <c r="C1173" s="1" t="s">
        <v>411</v>
      </c>
      <c r="D1173" s="2" t="str">
        <f>HYPERLINK("https://inventaire.cncp.gouv.fr/fiches/896/","896")</f>
        <v>896</v>
      </c>
      <c r="E1173" s="2" t="str">
        <f>HYPERLINK("http://www.intercariforef.org/formations/certification-85000.html","85000")</f>
        <v>85000</v>
      </c>
      <c r="F1173" s="3">
        <v>42184</v>
      </c>
      <c r="G1173" s="3">
        <v>42184</v>
      </c>
    </row>
    <row r="1174" spans="1:7" x14ac:dyDescent="0.3">
      <c r="A1174" s="1" t="s">
        <v>1136</v>
      </c>
      <c r="B1174" s="1" t="s">
        <v>1558</v>
      </c>
      <c r="C1174" s="1" t="s">
        <v>411</v>
      </c>
      <c r="D1174" s="2" t="str">
        <f>HYPERLINK("https://inventaire.cncp.gouv.fr/fiches/2244/","2244")</f>
        <v>2244</v>
      </c>
      <c r="E1174" s="2" t="str">
        <f>HYPERLINK("http://www.intercariforef.org/formations/certification-95001.html","95001")</f>
        <v>95001</v>
      </c>
      <c r="F1174" s="3">
        <v>42838</v>
      </c>
      <c r="G1174" s="3">
        <v>42838</v>
      </c>
    </row>
    <row r="1175" spans="1:7" x14ac:dyDescent="0.3">
      <c r="A1175" s="1" t="s">
        <v>1136</v>
      </c>
      <c r="B1175" s="1" t="s">
        <v>1559</v>
      </c>
      <c r="C1175" s="1" t="s">
        <v>411</v>
      </c>
      <c r="D1175" s="2" t="str">
        <f>HYPERLINK("https://inventaire.cncp.gouv.fr/fiches/1574/","1574")</f>
        <v>1574</v>
      </c>
      <c r="E1175" s="2" t="str">
        <f>HYPERLINK("http://www.intercariforef.org/formations/certification-88375.html","88375")</f>
        <v>88375</v>
      </c>
      <c r="F1175" s="3">
        <v>42460</v>
      </c>
      <c r="G1175" s="3">
        <v>42718</v>
      </c>
    </row>
    <row r="1176" spans="1:7" x14ac:dyDescent="0.3">
      <c r="A1176" s="1" t="s">
        <v>1136</v>
      </c>
      <c r="B1176" s="1" t="s">
        <v>1560</v>
      </c>
      <c r="C1176" s="1" t="s">
        <v>411</v>
      </c>
      <c r="D1176" s="2" t="str">
        <f>HYPERLINK("https://inventaire.cncp.gouv.fr/fiches/1571/","1571")</f>
        <v>1571</v>
      </c>
      <c r="E1176" s="2" t="str">
        <f>HYPERLINK("http://www.intercariforef.org/formations/certification-88369.html","88369")</f>
        <v>88369</v>
      </c>
      <c r="F1176" s="3">
        <v>42460</v>
      </c>
      <c r="G1176" s="3">
        <v>42718</v>
      </c>
    </row>
    <row r="1177" spans="1:7" x14ac:dyDescent="0.3">
      <c r="A1177" s="1" t="s">
        <v>1136</v>
      </c>
      <c r="B1177" s="1" t="s">
        <v>1561</v>
      </c>
      <c r="C1177" s="1" t="s">
        <v>411</v>
      </c>
      <c r="D1177" s="2" t="str">
        <f>HYPERLINK("https://inventaire.cncp.gouv.fr/fiches/2891/","2891")</f>
        <v>2891</v>
      </c>
      <c r="E1177" s="2" t="str">
        <f>HYPERLINK("http://www.intercariforef.org/formations/certification-100145.html","100145")</f>
        <v>100145</v>
      </c>
      <c r="F1177" s="3">
        <v>43153</v>
      </c>
      <c r="G1177" s="3">
        <v>43153</v>
      </c>
    </row>
    <row r="1178" spans="1:7" x14ac:dyDescent="0.3">
      <c r="A1178" s="1" t="s">
        <v>1136</v>
      </c>
      <c r="B1178" s="1" t="s">
        <v>1562</v>
      </c>
      <c r="C1178" s="1" t="s">
        <v>411</v>
      </c>
      <c r="D1178" s="2" t="str">
        <f>HYPERLINK("https://inventaire.cncp.gouv.fr/fiches/2863/","2863")</f>
        <v>2863</v>
      </c>
      <c r="E1178" s="2" t="str">
        <f>HYPERLINK("http://www.intercariforef.org/formations/certification-98651.html","98651")</f>
        <v>98651</v>
      </c>
      <c r="F1178" s="3">
        <v>43038</v>
      </c>
      <c r="G1178" s="3">
        <v>43038</v>
      </c>
    </row>
    <row r="1179" spans="1:7" x14ac:dyDescent="0.3">
      <c r="A1179" s="1" t="s">
        <v>1136</v>
      </c>
      <c r="B1179" s="1" t="s">
        <v>1563</v>
      </c>
      <c r="C1179" s="1" t="s">
        <v>411</v>
      </c>
      <c r="D1179" s="2" t="str">
        <f>HYPERLINK("https://inventaire.cncp.gouv.fr/fiches/1191/","1191")</f>
        <v>1191</v>
      </c>
      <c r="E1179" s="2" t="str">
        <f>HYPERLINK("http://www.intercariforef.org/formations/certification-85611.html","85611")</f>
        <v>85611</v>
      </c>
      <c r="F1179" s="3">
        <v>42269</v>
      </c>
      <c r="G1179" s="3">
        <v>42979</v>
      </c>
    </row>
    <row r="1180" spans="1:7" x14ac:dyDescent="0.3">
      <c r="A1180" s="1" t="s">
        <v>1136</v>
      </c>
      <c r="B1180" s="1" t="s">
        <v>1564</v>
      </c>
      <c r="C1180" s="1" t="s">
        <v>411</v>
      </c>
      <c r="D1180" s="2" t="str">
        <f>HYPERLINK("https://inventaire.cncp.gouv.fr/fiches/2530/","2530")</f>
        <v>2530</v>
      </c>
      <c r="E1180" s="2" t="str">
        <f>HYPERLINK("http://www.intercariforef.org/formations/certification-94951.html","94951")</f>
        <v>94951</v>
      </c>
      <c r="F1180" s="3">
        <v>42837</v>
      </c>
      <c r="G1180" s="3">
        <v>42979</v>
      </c>
    </row>
    <row r="1181" spans="1:7" x14ac:dyDescent="0.3">
      <c r="A1181" s="1" t="s">
        <v>1136</v>
      </c>
      <c r="B1181" s="1" t="s">
        <v>1565</v>
      </c>
      <c r="C1181" s="1" t="s">
        <v>411</v>
      </c>
      <c r="D1181" s="2" t="str">
        <f>HYPERLINK("https://inventaire.cncp.gouv.fr/fiches/2373/","2373")</f>
        <v>2373</v>
      </c>
      <c r="E1181" s="2" t="str">
        <f>HYPERLINK("http://www.intercariforef.org/formations/certification-94999.html","94999")</f>
        <v>94999</v>
      </c>
      <c r="F1181" s="3">
        <v>42838</v>
      </c>
      <c r="G1181" s="3">
        <v>42979</v>
      </c>
    </row>
    <row r="1182" spans="1:7" x14ac:dyDescent="0.3">
      <c r="A1182" s="1" t="s">
        <v>1136</v>
      </c>
      <c r="B1182" s="1" t="s">
        <v>1566</v>
      </c>
      <c r="C1182" s="1" t="s">
        <v>411</v>
      </c>
      <c r="D1182" s="2" t="str">
        <f>HYPERLINK("https://inventaire.cncp.gouv.fr/fiches/1195/","1195")</f>
        <v>1195</v>
      </c>
      <c r="E1182" s="2" t="str">
        <f>HYPERLINK("http://www.intercariforef.org/formations/certification-85604.html","85604")</f>
        <v>85604</v>
      </c>
      <c r="F1182" s="3">
        <v>42269</v>
      </c>
      <c r="G1182" s="3">
        <v>42979</v>
      </c>
    </row>
    <row r="1183" spans="1:7" ht="26.2" x14ac:dyDescent="0.3">
      <c r="A1183" s="1" t="s">
        <v>1136</v>
      </c>
      <c r="B1183" s="1" t="s">
        <v>1567</v>
      </c>
      <c r="C1183" s="1" t="s">
        <v>1540</v>
      </c>
      <c r="D1183" s="2" t="str">
        <f>HYPERLINK("https://inventaire.cncp.gouv.fr/fiches/1076/","1076")</f>
        <v>1076</v>
      </c>
      <c r="E1183" s="2" t="str">
        <f>HYPERLINK("http://www.intercariforef.org/formations/certification-85614.html","85614")</f>
        <v>85614</v>
      </c>
      <c r="F1183" s="3">
        <v>42269</v>
      </c>
      <c r="G1183" s="3">
        <v>42718</v>
      </c>
    </row>
    <row r="1184" spans="1:7" ht="26.2" x14ac:dyDescent="0.3">
      <c r="A1184" s="1" t="s">
        <v>1136</v>
      </c>
      <c r="B1184" s="1" t="s">
        <v>1568</v>
      </c>
      <c r="C1184" s="1" t="s">
        <v>1540</v>
      </c>
      <c r="D1184" s="2" t="str">
        <f>HYPERLINK("https://inventaire.cncp.gouv.fr/fiches/1206/","1206")</f>
        <v>1206</v>
      </c>
      <c r="E1184" s="2" t="str">
        <f>HYPERLINK("http://www.intercariforef.org/formations/certification-85597.html","85597")</f>
        <v>85597</v>
      </c>
      <c r="F1184" s="3">
        <v>42269</v>
      </c>
      <c r="G1184" s="3">
        <v>42718</v>
      </c>
    </row>
    <row r="1185" spans="1:7" x14ac:dyDescent="0.3">
      <c r="A1185" s="1" t="s">
        <v>1136</v>
      </c>
      <c r="B1185" s="1" t="s">
        <v>1569</v>
      </c>
      <c r="C1185" s="1" t="s">
        <v>411</v>
      </c>
      <c r="D1185" s="2" t="str">
        <f>HYPERLINK("https://inventaire.cncp.gouv.fr/fiches/741/","741")</f>
        <v>741</v>
      </c>
      <c r="E1185" s="2" t="str">
        <f>HYPERLINK("http://www.intercariforef.org/formations/certification-84934.html","84934")</f>
        <v>84934</v>
      </c>
      <c r="F1185" s="3">
        <v>42178</v>
      </c>
      <c r="G1185" s="3">
        <v>42178</v>
      </c>
    </row>
    <row r="1186" spans="1:7" x14ac:dyDescent="0.3">
      <c r="A1186" s="1" t="s">
        <v>1136</v>
      </c>
      <c r="B1186" s="1" t="s">
        <v>1570</v>
      </c>
      <c r="C1186" s="1" t="s">
        <v>411</v>
      </c>
      <c r="D1186" s="2" t="str">
        <f>HYPERLINK("https://inventaire.cncp.gouv.fr/fiches/2011/","2011")</f>
        <v>2011</v>
      </c>
      <c r="E1186" s="2" t="str">
        <f>HYPERLINK("http://www.intercariforef.org/formations/certification-90103.html","90103")</f>
        <v>90103</v>
      </c>
      <c r="F1186" s="3">
        <v>42562</v>
      </c>
      <c r="G1186" s="3">
        <v>42562</v>
      </c>
    </row>
    <row r="1187" spans="1:7" x14ac:dyDescent="0.3">
      <c r="A1187" s="1" t="s">
        <v>1136</v>
      </c>
      <c r="B1187" s="1" t="s">
        <v>1571</v>
      </c>
      <c r="C1187" s="1" t="s">
        <v>411</v>
      </c>
      <c r="D1187" s="2" t="str">
        <f>HYPERLINK("https://inventaire.cncp.gouv.fr/fiches/1007/","1007")</f>
        <v>1007</v>
      </c>
      <c r="E1187" s="2" t="str">
        <f>HYPERLINK("http://www.intercariforef.org/formations/certification-85015.html","85015")</f>
        <v>85015</v>
      </c>
      <c r="F1187" s="3">
        <v>42184</v>
      </c>
      <c r="G1187" s="3">
        <v>42718</v>
      </c>
    </row>
    <row r="1188" spans="1:7" x14ac:dyDescent="0.3">
      <c r="A1188" s="1" t="s">
        <v>1136</v>
      </c>
      <c r="B1188" s="1" t="s">
        <v>1572</v>
      </c>
      <c r="C1188" s="1" t="s">
        <v>411</v>
      </c>
      <c r="D1188" s="2" t="str">
        <f>HYPERLINK("https://inventaire.cncp.gouv.fr/fiches/2245/","2245")</f>
        <v>2245</v>
      </c>
      <c r="E1188" s="2" t="str">
        <f>HYPERLINK("http://www.intercariforef.org/formations/certification-94095.html","94095")</f>
        <v>94095</v>
      </c>
      <c r="F1188" s="3">
        <v>42760</v>
      </c>
      <c r="G1188" s="3">
        <v>42979</v>
      </c>
    </row>
    <row r="1189" spans="1:7" x14ac:dyDescent="0.3">
      <c r="A1189" s="1" t="s">
        <v>1136</v>
      </c>
      <c r="B1189" s="1" t="s">
        <v>1573</v>
      </c>
      <c r="C1189" s="1" t="s">
        <v>411</v>
      </c>
      <c r="D1189" s="2" t="str">
        <f>HYPERLINK("https://inventaire.cncp.gouv.fr/fiches/871/","871")</f>
        <v>871</v>
      </c>
      <c r="E1189" s="2" t="str">
        <f>HYPERLINK("http://www.intercariforef.org/formations/certification-85013.html","85013")</f>
        <v>85013</v>
      </c>
      <c r="F1189" s="3">
        <v>42184</v>
      </c>
      <c r="G1189" s="3">
        <v>42718</v>
      </c>
    </row>
    <row r="1190" spans="1:7" x14ac:dyDescent="0.3">
      <c r="A1190" s="1" t="s">
        <v>1136</v>
      </c>
      <c r="B1190" s="1" t="s">
        <v>1574</v>
      </c>
      <c r="C1190" s="1" t="s">
        <v>411</v>
      </c>
      <c r="D1190" s="2" t="str">
        <f>HYPERLINK("https://inventaire.cncp.gouv.fr/fiches/823/","823")</f>
        <v>823</v>
      </c>
      <c r="E1190" s="2" t="str">
        <f>HYPERLINK("http://www.intercariforef.org/formations/certification-84997.html","84997")</f>
        <v>84997</v>
      </c>
      <c r="F1190" s="3">
        <v>42184</v>
      </c>
      <c r="G1190" s="3">
        <v>42718</v>
      </c>
    </row>
    <row r="1191" spans="1:7" x14ac:dyDescent="0.3">
      <c r="A1191" s="1" t="s">
        <v>1136</v>
      </c>
      <c r="B1191" s="1" t="s">
        <v>1575</v>
      </c>
      <c r="C1191" s="1" t="s">
        <v>411</v>
      </c>
      <c r="D1191" s="2" t="str">
        <f>HYPERLINK("https://inventaire.cncp.gouv.fr/fiches/2377/","2377")</f>
        <v>2377</v>
      </c>
      <c r="E1191" s="2" t="str">
        <f>HYPERLINK("http://www.intercariforef.org/formations/certification-94995.html","94995")</f>
        <v>94995</v>
      </c>
      <c r="F1191" s="3">
        <v>42838</v>
      </c>
      <c r="G1191" s="3">
        <v>42838</v>
      </c>
    </row>
    <row r="1192" spans="1:7" x14ac:dyDescent="0.3">
      <c r="A1192" s="1" t="s">
        <v>1136</v>
      </c>
      <c r="B1192" s="1" t="s">
        <v>1576</v>
      </c>
      <c r="C1192" s="1" t="s">
        <v>411</v>
      </c>
      <c r="D1192" s="2" t="str">
        <f>HYPERLINK("https://inventaire.cncp.gouv.fr/fiches/1020/","1020")</f>
        <v>1020</v>
      </c>
      <c r="E1192" s="2" t="str">
        <f>HYPERLINK("http://www.intercariforef.org/formations/certification-85020.html","85020")</f>
        <v>85020</v>
      </c>
      <c r="F1192" s="3">
        <v>42184</v>
      </c>
      <c r="G1192" s="3">
        <v>42184</v>
      </c>
    </row>
    <row r="1193" spans="1:7" x14ac:dyDescent="0.3">
      <c r="A1193" s="1" t="s">
        <v>1136</v>
      </c>
      <c r="B1193" s="1" t="s">
        <v>1577</v>
      </c>
      <c r="C1193" s="1" t="s">
        <v>411</v>
      </c>
      <c r="D1193" s="2" t="str">
        <f>HYPERLINK("https://inventaire.cncp.gouv.fr/fiches/1015/","1015")</f>
        <v>1015</v>
      </c>
      <c r="E1193" s="2" t="str">
        <f>HYPERLINK("http://www.intercariforef.org/formations/certification-85012.html","85012")</f>
        <v>85012</v>
      </c>
      <c r="F1193" s="3">
        <v>42184</v>
      </c>
      <c r="G1193" s="3">
        <v>42718</v>
      </c>
    </row>
    <row r="1194" spans="1:7" x14ac:dyDescent="0.3">
      <c r="A1194" s="1" t="s">
        <v>1136</v>
      </c>
      <c r="B1194" s="1" t="s">
        <v>1578</v>
      </c>
      <c r="C1194" s="1" t="s">
        <v>411</v>
      </c>
      <c r="D1194" s="2" t="str">
        <f>HYPERLINK("https://inventaire.cncp.gouv.fr/fiches/1576/","1576")</f>
        <v>1576</v>
      </c>
      <c r="E1194" s="2" t="str">
        <f>HYPERLINK("http://www.intercariforef.org/formations/certification-88373.html","88373")</f>
        <v>88373</v>
      </c>
      <c r="F1194" s="3">
        <v>42460</v>
      </c>
      <c r="G1194" s="3">
        <v>42718</v>
      </c>
    </row>
    <row r="1195" spans="1:7" x14ac:dyDescent="0.3">
      <c r="A1195" s="1" t="s">
        <v>1136</v>
      </c>
      <c r="B1195" s="1" t="s">
        <v>1579</v>
      </c>
      <c r="C1195" s="1" t="s">
        <v>411</v>
      </c>
      <c r="D1195" s="2" t="str">
        <f>HYPERLINK("https://inventaire.cncp.gouv.fr/fiches/483/","483")</f>
        <v>483</v>
      </c>
      <c r="E1195" s="2" t="str">
        <f>HYPERLINK("http://www.intercariforef.org/formations/certification-84933.html","84933")</f>
        <v>84933</v>
      </c>
      <c r="F1195" s="3">
        <v>42178</v>
      </c>
      <c r="G1195" s="3">
        <v>42178</v>
      </c>
    </row>
    <row r="1196" spans="1:7" x14ac:dyDescent="0.3">
      <c r="A1196" s="1" t="s">
        <v>1136</v>
      </c>
      <c r="B1196" s="1" t="s">
        <v>1580</v>
      </c>
      <c r="C1196" s="1" t="s">
        <v>411</v>
      </c>
      <c r="D1196" s="2" t="str">
        <f>HYPERLINK("https://inventaire.cncp.gouv.fr/fiches/906/","906")</f>
        <v>906</v>
      </c>
      <c r="E1196" s="2" t="str">
        <f>HYPERLINK("http://www.intercariforef.org/formations/certification-85019.html","85019")</f>
        <v>85019</v>
      </c>
      <c r="F1196" s="3">
        <v>42184</v>
      </c>
      <c r="G1196" s="3">
        <v>42184</v>
      </c>
    </row>
    <row r="1197" spans="1:7" x14ac:dyDescent="0.3">
      <c r="A1197" s="1" t="s">
        <v>1136</v>
      </c>
      <c r="B1197" s="1" t="s">
        <v>1581</v>
      </c>
      <c r="C1197" s="1" t="s">
        <v>411</v>
      </c>
      <c r="D1197" s="2" t="str">
        <f>HYPERLINK("https://inventaire.cncp.gouv.fr/fiches/882/","882")</f>
        <v>882</v>
      </c>
      <c r="E1197" s="2" t="str">
        <f>HYPERLINK("http://www.intercariforef.org/formations/certification-84996.html","84996")</f>
        <v>84996</v>
      </c>
      <c r="F1197" s="3">
        <v>42184</v>
      </c>
      <c r="G1197" s="3">
        <v>42184</v>
      </c>
    </row>
    <row r="1198" spans="1:7" ht="26.2" x14ac:dyDescent="0.3">
      <c r="A1198" s="1" t="s">
        <v>1136</v>
      </c>
      <c r="B1198" s="1" t="s">
        <v>1582</v>
      </c>
      <c r="C1198" s="1" t="s">
        <v>1540</v>
      </c>
      <c r="D1198" s="2" t="str">
        <f>HYPERLINK("https://inventaire.cncp.gouv.fr/fiches/1072/","1072")</f>
        <v>1072</v>
      </c>
      <c r="E1198" s="2" t="str">
        <f>HYPERLINK("http://www.intercariforef.org/formations/certification-85617.html","85617")</f>
        <v>85617</v>
      </c>
      <c r="F1198" s="3">
        <v>42269</v>
      </c>
      <c r="G1198" s="3">
        <v>42269</v>
      </c>
    </row>
    <row r="1199" spans="1:7" x14ac:dyDescent="0.3">
      <c r="A1199" s="1" t="s">
        <v>1136</v>
      </c>
      <c r="B1199" s="1" t="s">
        <v>1583</v>
      </c>
      <c r="C1199" s="1" t="s">
        <v>689</v>
      </c>
      <c r="D1199" s="2" t="str">
        <f>HYPERLINK("https://inventaire.cncp.gouv.fr/fiches/3068/","3068")</f>
        <v>3068</v>
      </c>
      <c r="E1199" s="2" t="str">
        <f>HYPERLINK("http://www.intercariforef.org/formations/certification-98491.html","98491")</f>
        <v>98491</v>
      </c>
      <c r="F1199" s="3">
        <v>43032</v>
      </c>
      <c r="G1199" s="3">
        <v>43032</v>
      </c>
    </row>
    <row r="1200" spans="1:7" x14ac:dyDescent="0.3">
      <c r="A1200" s="1" t="s">
        <v>1136</v>
      </c>
      <c r="B1200" s="1" t="s">
        <v>1584</v>
      </c>
      <c r="C1200" s="1" t="s">
        <v>689</v>
      </c>
      <c r="D1200" s="2" t="str">
        <f>HYPERLINK("https://inventaire.cncp.gouv.fr/fiches/3196/","3196")</f>
        <v>3196</v>
      </c>
      <c r="E1200" s="2" t="str">
        <f>HYPERLINK("http://www.intercariforef.org/formations/certification-100183.html","100183")</f>
        <v>100183</v>
      </c>
      <c r="F1200" s="3">
        <v>43154</v>
      </c>
      <c r="G1200" s="3">
        <v>43154</v>
      </c>
    </row>
    <row r="1201" spans="1:7" x14ac:dyDescent="0.3">
      <c r="A1201" s="1" t="s">
        <v>1136</v>
      </c>
      <c r="B1201" s="1" t="s">
        <v>1585</v>
      </c>
      <c r="C1201" s="1" t="s">
        <v>920</v>
      </c>
      <c r="D1201" s="2" t="str">
        <f>HYPERLINK("https://inventaire.cncp.gouv.fr/fiches/2442/","2442")</f>
        <v>2442</v>
      </c>
      <c r="E1201" s="2" t="str">
        <f>HYPERLINK("http://www.intercariforef.org/formations/certification-93817.html","93817")</f>
        <v>93817</v>
      </c>
      <c r="F1201" s="3">
        <v>42740</v>
      </c>
      <c r="G1201" s="3">
        <v>42740</v>
      </c>
    </row>
    <row r="1202" spans="1:7" x14ac:dyDescent="0.3">
      <c r="A1202" s="1" t="s">
        <v>1136</v>
      </c>
      <c r="B1202" s="1" t="s">
        <v>1586</v>
      </c>
      <c r="C1202" s="1" t="s">
        <v>1587</v>
      </c>
      <c r="D1202" s="2" t="str">
        <f>HYPERLINK("https://inventaire.cncp.gouv.fr/fiches/3014/","3014")</f>
        <v>3014</v>
      </c>
      <c r="E1202" s="2" t="str">
        <f>HYPERLINK("http://www.intercariforef.org/formations/certification-96499.html","96499")</f>
        <v>96499</v>
      </c>
      <c r="F1202" s="3">
        <v>42928</v>
      </c>
      <c r="G1202" s="3">
        <v>42928</v>
      </c>
    </row>
    <row r="1203" spans="1:7" x14ac:dyDescent="0.3">
      <c r="A1203" s="1" t="s">
        <v>1136</v>
      </c>
      <c r="B1203" s="1" t="s">
        <v>1588</v>
      </c>
      <c r="C1203" s="1" t="s">
        <v>678</v>
      </c>
      <c r="D1203" s="2" t="str">
        <f>HYPERLINK("https://inventaire.cncp.gouv.fr/fiches/3914/","3914")</f>
        <v>3914</v>
      </c>
      <c r="E1203" s="2" t="str">
        <f>HYPERLINK("http://www.intercariforef.org/formations/certification-104119.html","104119")</f>
        <v>104119</v>
      </c>
      <c r="F1203" s="3">
        <v>43398</v>
      </c>
      <c r="G1203" s="3">
        <v>43398</v>
      </c>
    </row>
    <row r="1204" spans="1:7" x14ac:dyDescent="0.3">
      <c r="A1204" s="1" t="s">
        <v>1136</v>
      </c>
      <c r="B1204" s="1" t="s">
        <v>1589</v>
      </c>
      <c r="C1204" s="1" t="s">
        <v>1084</v>
      </c>
      <c r="D1204" s="2" t="str">
        <f>HYPERLINK("https://inventaire.cncp.gouv.fr/fiches/3116/","3116")</f>
        <v>3116</v>
      </c>
      <c r="E1204" s="2" t="str">
        <f>HYPERLINK("http://www.intercariforef.org/formations/certification-98495.html","98495")</f>
        <v>98495</v>
      </c>
      <c r="F1204" s="3">
        <v>43032</v>
      </c>
      <c r="G1204" s="3">
        <v>43032</v>
      </c>
    </row>
    <row r="1205" spans="1:7" x14ac:dyDescent="0.3">
      <c r="A1205" s="1" t="s">
        <v>1136</v>
      </c>
      <c r="B1205" s="1" t="s">
        <v>1590</v>
      </c>
      <c r="C1205" s="1" t="s">
        <v>707</v>
      </c>
      <c r="D1205" s="2" t="str">
        <f>HYPERLINK("https://inventaire.cncp.gouv.fr/fiches/2227/","2227")</f>
        <v>2227</v>
      </c>
      <c r="E1205" s="2" t="str">
        <f>HYPERLINK("http://www.intercariforef.org/formations/certification-92149.html","92149")</f>
        <v>92149</v>
      </c>
      <c r="F1205" s="3">
        <v>42667</v>
      </c>
      <c r="G1205" s="3">
        <v>42718</v>
      </c>
    </row>
    <row r="1206" spans="1:7" x14ac:dyDescent="0.3">
      <c r="A1206" s="1" t="s">
        <v>1136</v>
      </c>
      <c r="B1206" s="1" t="s">
        <v>1591</v>
      </c>
      <c r="C1206" s="1" t="s">
        <v>1592</v>
      </c>
      <c r="D1206" s="2" t="str">
        <f>HYPERLINK("https://inventaire.cncp.gouv.fr/fiches/2448/","2448")</f>
        <v>2448</v>
      </c>
      <c r="E1206" s="2" t="str">
        <f>HYPERLINK("http://www.intercariforef.org/formations/certification-95665.html","95665")</f>
        <v>95665</v>
      </c>
      <c r="F1206" s="3">
        <v>42894</v>
      </c>
      <c r="G1206" s="3">
        <v>42894</v>
      </c>
    </row>
    <row r="1207" spans="1:7" x14ac:dyDescent="0.3">
      <c r="A1207" s="1" t="s">
        <v>1136</v>
      </c>
      <c r="B1207" s="1" t="s">
        <v>1593</v>
      </c>
      <c r="C1207" s="1" t="s">
        <v>1594</v>
      </c>
      <c r="D1207" s="2" t="str">
        <f>HYPERLINK("https://inventaire.cncp.gouv.fr/fiches/3442/","3442")</f>
        <v>3442</v>
      </c>
      <c r="E1207" s="2" t="str">
        <f>HYPERLINK("http://www.intercariforef.org/formations/certification-104013.html","104013")</f>
        <v>104013</v>
      </c>
      <c r="F1207" s="3">
        <v>43392</v>
      </c>
      <c r="G1207" s="3">
        <v>43392</v>
      </c>
    </row>
    <row r="1208" spans="1:7" x14ac:dyDescent="0.3">
      <c r="A1208" s="1" t="s">
        <v>1136</v>
      </c>
      <c r="B1208" s="1" t="s">
        <v>1595</v>
      </c>
      <c r="C1208" s="1" t="s">
        <v>1596</v>
      </c>
      <c r="D1208" s="2" t="str">
        <f>HYPERLINK("https://inventaire.cncp.gouv.fr/fiches/3190/","3190")</f>
        <v>3190</v>
      </c>
      <c r="E1208" s="2" t="str">
        <f>HYPERLINK("http://www.intercariforef.org/formations/certification-104055.html","104055")</f>
        <v>104055</v>
      </c>
      <c r="F1208" s="3">
        <v>43392</v>
      </c>
      <c r="G1208" s="3">
        <v>43392</v>
      </c>
    </row>
    <row r="1209" spans="1:7" x14ac:dyDescent="0.3">
      <c r="A1209" s="1" t="s">
        <v>1136</v>
      </c>
      <c r="B1209" s="1" t="s">
        <v>1597</v>
      </c>
      <c r="C1209" s="1" t="s">
        <v>974</v>
      </c>
      <c r="D1209" s="2" t="str">
        <f>HYPERLINK("https://inventaire.cncp.gouv.fr/fiches/1609/","1609")</f>
        <v>1609</v>
      </c>
      <c r="E1209" s="2" t="str">
        <f>HYPERLINK("http://www.intercariforef.org/formations/certification-89371.html","89371")</f>
        <v>89371</v>
      </c>
      <c r="F1209" s="3">
        <v>42527</v>
      </c>
      <c r="G1209" s="3">
        <v>42527</v>
      </c>
    </row>
    <row r="1210" spans="1:7" x14ac:dyDescent="0.3">
      <c r="A1210" s="1" t="s">
        <v>1136</v>
      </c>
      <c r="B1210" s="1" t="s">
        <v>1598</v>
      </c>
      <c r="C1210" s="1" t="s">
        <v>974</v>
      </c>
      <c r="D1210" s="2" t="str">
        <f>HYPERLINK("https://inventaire.cncp.gouv.fr/fiches/1817/","1817")</f>
        <v>1817</v>
      </c>
      <c r="E1210" s="2" t="str">
        <f>HYPERLINK("http://www.intercariforef.org/formations/certification-88661.html","88661")</f>
        <v>88661</v>
      </c>
      <c r="F1210" s="3">
        <v>42487</v>
      </c>
      <c r="G1210" s="3">
        <v>42487</v>
      </c>
    </row>
    <row r="1211" spans="1:7" x14ac:dyDescent="0.3">
      <c r="A1211" s="1" t="s">
        <v>1136</v>
      </c>
      <c r="B1211" s="1" t="s">
        <v>1599</v>
      </c>
      <c r="C1211" s="1" t="s">
        <v>974</v>
      </c>
      <c r="D1211" s="2" t="str">
        <f>HYPERLINK("https://inventaire.cncp.gouv.fr/fiches/1815/","1815")</f>
        <v>1815</v>
      </c>
      <c r="E1211" s="2" t="str">
        <f>HYPERLINK("http://www.intercariforef.org/formations/certification-88659.html","88659")</f>
        <v>88659</v>
      </c>
      <c r="F1211" s="3">
        <v>42487</v>
      </c>
      <c r="G1211" s="3">
        <v>42487</v>
      </c>
    </row>
    <row r="1212" spans="1:7" x14ac:dyDescent="0.3">
      <c r="A1212" s="1" t="s">
        <v>1136</v>
      </c>
      <c r="B1212" s="1" t="s">
        <v>1600</v>
      </c>
      <c r="C1212" s="1" t="s">
        <v>1089</v>
      </c>
      <c r="D1212" s="2" t="str">
        <f>HYPERLINK("https://inventaire.cncp.gouv.fr/fiches/1003/","1003")</f>
        <v>1003</v>
      </c>
      <c r="E1212" s="2" t="str">
        <f>HYPERLINK("http://www.intercariforef.org/formations/certification-85053.html","85053")</f>
        <v>85053</v>
      </c>
      <c r="F1212" s="3">
        <v>42185</v>
      </c>
      <c r="G1212" s="3">
        <v>42718</v>
      </c>
    </row>
    <row r="1213" spans="1:7" x14ac:dyDescent="0.3">
      <c r="A1213" s="1" t="s">
        <v>1136</v>
      </c>
      <c r="B1213" s="1" t="s">
        <v>1601</v>
      </c>
      <c r="C1213" s="1" t="s">
        <v>966</v>
      </c>
      <c r="D1213" s="2" t="str">
        <f>HYPERLINK("https://inventaire.cncp.gouv.fr/fiches/1499/","1499")</f>
        <v>1499</v>
      </c>
      <c r="E1213" s="2" t="str">
        <f>HYPERLINK("http://www.intercariforef.org/formations/certification-90053.html","90053")</f>
        <v>90053</v>
      </c>
      <c r="F1213" s="3">
        <v>42558</v>
      </c>
      <c r="G1213" s="3">
        <v>42718</v>
      </c>
    </row>
    <row r="1214" spans="1:7" x14ac:dyDescent="0.3">
      <c r="A1214" s="1" t="s">
        <v>1136</v>
      </c>
      <c r="B1214" s="1" t="s">
        <v>1602</v>
      </c>
      <c r="C1214" s="1" t="s">
        <v>966</v>
      </c>
      <c r="D1214" s="2" t="str">
        <f>HYPERLINK("https://inventaire.cncp.gouv.fr/fiches/1500/","1500")</f>
        <v>1500</v>
      </c>
      <c r="E1214" s="2" t="str">
        <f>HYPERLINK("http://www.intercariforef.org/formations/certification-90055.html","90055")</f>
        <v>90055</v>
      </c>
      <c r="F1214" s="3">
        <v>42558</v>
      </c>
      <c r="G1214" s="3">
        <v>42718</v>
      </c>
    </row>
    <row r="1215" spans="1:7" x14ac:dyDescent="0.3">
      <c r="A1215" s="1" t="s">
        <v>1136</v>
      </c>
      <c r="B1215" s="1" t="s">
        <v>1603</v>
      </c>
      <c r="C1215" s="1" t="s">
        <v>966</v>
      </c>
      <c r="D1215" s="2" t="str">
        <f>HYPERLINK("https://inventaire.cncp.gouv.fr/fiches/1496/","1496")</f>
        <v>1496</v>
      </c>
      <c r="E1215" s="2" t="str">
        <f>HYPERLINK("http://www.intercariforef.org/formations/certification-93915.html","93915")</f>
        <v>93915</v>
      </c>
      <c r="F1215" s="3">
        <v>42744</v>
      </c>
      <c r="G1215" s="3">
        <v>42744</v>
      </c>
    </row>
    <row r="1216" spans="1:7" x14ac:dyDescent="0.3">
      <c r="A1216" s="1" t="s">
        <v>1136</v>
      </c>
      <c r="B1216" s="1" t="s">
        <v>1604</v>
      </c>
      <c r="C1216" s="1" t="s">
        <v>966</v>
      </c>
      <c r="D1216" s="2" t="str">
        <f>HYPERLINK("https://inventaire.cncp.gouv.fr/fiches/1495/","1495")</f>
        <v>1495</v>
      </c>
      <c r="E1216" s="2" t="str">
        <f>HYPERLINK("http://www.intercariforef.org/formations/certification-90049.html","90049")</f>
        <v>90049</v>
      </c>
      <c r="F1216" s="3">
        <v>42558</v>
      </c>
      <c r="G1216" s="3">
        <v>42718</v>
      </c>
    </row>
    <row r="1217" spans="1:7" x14ac:dyDescent="0.3">
      <c r="A1217" s="1" t="s">
        <v>1136</v>
      </c>
      <c r="B1217" s="1" t="s">
        <v>1605</v>
      </c>
      <c r="C1217" s="1" t="s">
        <v>966</v>
      </c>
      <c r="D1217" s="2" t="str">
        <f>HYPERLINK("https://inventaire.cncp.gouv.fr/fiches/1485/","1485")</f>
        <v>1485</v>
      </c>
      <c r="E1217" s="2" t="str">
        <f>HYPERLINK("http://www.intercariforef.org/formations/certification-90033.html","90033")</f>
        <v>90033</v>
      </c>
      <c r="F1217" s="3">
        <v>42558</v>
      </c>
      <c r="G1217" s="3">
        <v>42718</v>
      </c>
    </row>
    <row r="1218" spans="1:7" x14ac:dyDescent="0.3">
      <c r="A1218" s="1" t="s">
        <v>1136</v>
      </c>
      <c r="B1218" s="1" t="s">
        <v>1606</v>
      </c>
      <c r="C1218" s="1" t="s">
        <v>966</v>
      </c>
      <c r="D1218" s="2" t="str">
        <f>HYPERLINK("https://inventaire.cncp.gouv.fr/fiches/1472/","1472")</f>
        <v>1472</v>
      </c>
      <c r="E1218" s="2" t="str">
        <f>HYPERLINK("http://www.intercariforef.org/formations/certification-90045.html","90045")</f>
        <v>90045</v>
      </c>
      <c r="F1218" s="3">
        <v>42558</v>
      </c>
      <c r="G1218" s="3">
        <v>42718</v>
      </c>
    </row>
    <row r="1219" spans="1:7" x14ac:dyDescent="0.3">
      <c r="A1219" s="1" t="s">
        <v>1136</v>
      </c>
      <c r="B1219" s="1" t="s">
        <v>1607</v>
      </c>
      <c r="C1219" s="1" t="s">
        <v>678</v>
      </c>
      <c r="D1219" s="2" t="str">
        <f>HYPERLINK("https://inventaire.cncp.gouv.fr/fiches/2687/","2687")</f>
        <v>2687</v>
      </c>
      <c r="E1219" s="2" t="str">
        <f>HYPERLINK("http://www.intercariforef.org/formations/certification-94827.html","94827")</f>
        <v>94827</v>
      </c>
      <c r="F1219" s="3">
        <v>42836</v>
      </c>
      <c r="G1219" s="3">
        <v>42836</v>
      </c>
    </row>
    <row r="1220" spans="1:7" x14ac:dyDescent="0.3">
      <c r="A1220" s="1" t="s">
        <v>1136</v>
      </c>
      <c r="B1220" s="1" t="s">
        <v>1608</v>
      </c>
      <c r="C1220" s="1" t="s">
        <v>966</v>
      </c>
      <c r="D1220" s="2" t="str">
        <f>HYPERLINK("https://inventaire.cncp.gouv.fr/fiches/1478/","1478")</f>
        <v>1478</v>
      </c>
      <c r="E1220" s="2" t="str">
        <f>HYPERLINK("http://www.intercariforef.org/formations/certification-91923.html","91923")</f>
        <v>91923</v>
      </c>
      <c r="F1220" s="3">
        <v>42662</v>
      </c>
      <c r="G1220" s="3">
        <v>42718</v>
      </c>
    </row>
    <row r="1221" spans="1:7" x14ac:dyDescent="0.3">
      <c r="A1221" s="1" t="s">
        <v>1136</v>
      </c>
      <c r="B1221" s="1" t="s">
        <v>1609</v>
      </c>
      <c r="C1221" s="1" t="s">
        <v>966</v>
      </c>
      <c r="D1221" s="2" t="str">
        <f>HYPERLINK("https://inventaire.cncp.gouv.fr/fiches/1486/","1486")</f>
        <v>1486</v>
      </c>
      <c r="E1221" s="2" t="str">
        <f>HYPERLINK("http://www.intercariforef.org/formations/certification-91917.html","91917")</f>
        <v>91917</v>
      </c>
      <c r="F1221" s="3">
        <v>42662</v>
      </c>
      <c r="G1221" s="3">
        <v>42662</v>
      </c>
    </row>
    <row r="1222" spans="1:7" x14ac:dyDescent="0.3">
      <c r="A1222" s="1" t="s">
        <v>1136</v>
      </c>
      <c r="B1222" s="1" t="s">
        <v>1610</v>
      </c>
      <c r="C1222" s="1" t="s">
        <v>966</v>
      </c>
      <c r="D1222" s="2" t="str">
        <f>HYPERLINK("https://inventaire.cncp.gouv.fr/fiches/1474/","1474")</f>
        <v>1474</v>
      </c>
      <c r="E1222" s="2" t="str">
        <f>HYPERLINK("http://www.intercariforef.org/formations/certification-91929.html","91929")</f>
        <v>91929</v>
      </c>
      <c r="F1222" s="3">
        <v>42662</v>
      </c>
      <c r="G1222" s="3">
        <v>42718</v>
      </c>
    </row>
    <row r="1223" spans="1:7" x14ac:dyDescent="0.3">
      <c r="A1223" s="1" t="s">
        <v>1136</v>
      </c>
      <c r="B1223" s="1" t="s">
        <v>1611</v>
      </c>
      <c r="C1223" s="1" t="s">
        <v>966</v>
      </c>
      <c r="D1223" s="2" t="str">
        <f>HYPERLINK("https://inventaire.cncp.gouv.fr/fiches/1487/","1487")</f>
        <v>1487</v>
      </c>
      <c r="E1223" s="2" t="str">
        <f>HYPERLINK("http://www.intercariforef.org/formations/certification-90031.html","90031")</f>
        <v>90031</v>
      </c>
      <c r="F1223" s="3">
        <v>42558</v>
      </c>
      <c r="G1223" s="3">
        <v>42718</v>
      </c>
    </row>
    <row r="1224" spans="1:7" x14ac:dyDescent="0.3">
      <c r="A1224" s="1" t="s">
        <v>1136</v>
      </c>
      <c r="B1224" s="1" t="s">
        <v>1612</v>
      </c>
      <c r="C1224" s="1" t="s">
        <v>966</v>
      </c>
      <c r="D1224" s="2" t="str">
        <f>HYPERLINK("https://inventaire.cncp.gouv.fr/fiches/1493/","1493")</f>
        <v>1493</v>
      </c>
      <c r="E1224" s="2" t="str">
        <f>HYPERLINK("http://www.intercariforef.org/formations/certification-90029.html","90029")</f>
        <v>90029</v>
      </c>
      <c r="F1224" s="3">
        <v>42558</v>
      </c>
      <c r="G1224" s="3">
        <v>42718</v>
      </c>
    </row>
    <row r="1225" spans="1:7" x14ac:dyDescent="0.3">
      <c r="A1225" s="1" t="s">
        <v>1136</v>
      </c>
      <c r="B1225" s="1" t="s">
        <v>1613</v>
      </c>
      <c r="C1225" s="1" t="s">
        <v>966</v>
      </c>
      <c r="D1225" s="2" t="str">
        <f>HYPERLINK("https://inventaire.cncp.gouv.fr/fiches/1502/","1502")</f>
        <v>1502</v>
      </c>
      <c r="E1225" s="2" t="str">
        <f>HYPERLINK("http://www.intercariforef.org/formations/certification-94865.html","94865")</f>
        <v>94865</v>
      </c>
      <c r="F1225" s="3">
        <v>42836</v>
      </c>
      <c r="G1225" s="3">
        <v>43032</v>
      </c>
    </row>
    <row r="1226" spans="1:7" x14ac:dyDescent="0.3">
      <c r="A1226" s="1" t="s">
        <v>1136</v>
      </c>
      <c r="B1226" s="1" t="s">
        <v>1614</v>
      </c>
      <c r="C1226" s="1" t="s">
        <v>966</v>
      </c>
      <c r="D1226" s="2" t="str">
        <f>HYPERLINK("https://inventaire.cncp.gouv.fr/fiches/1520/","1520")</f>
        <v>1520</v>
      </c>
      <c r="E1226" s="2" t="str">
        <f>HYPERLINK("http://www.intercariforef.org/formations/certification-94861.html","94861")</f>
        <v>94861</v>
      </c>
      <c r="F1226" s="3">
        <v>42836</v>
      </c>
      <c r="G1226" s="3">
        <v>43032</v>
      </c>
    </row>
    <row r="1227" spans="1:7" x14ac:dyDescent="0.3">
      <c r="A1227" s="1" t="s">
        <v>1136</v>
      </c>
      <c r="B1227" s="1" t="s">
        <v>1615</v>
      </c>
      <c r="C1227" s="1" t="s">
        <v>966</v>
      </c>
      <c r="D1227" s="2" t="str">
        <f>HYPERLINK("https://inventaire.cncp.gouv.fr/fiches/1473/","1473")</f>
        <v>1473</v>
      </c>
      <c r="E1227" s="2" t="str">
        <f>HYPERLINK("http://www.intercariforef.org/formations/certification-91931.html","91931")</f>
        <v>91931</v>
      </c>
      <c r="F1227" s="3">
        <v>42662</v>
      </c>
      <c r="G1227" s="3">
        <v>42662</v>
      </c>
    </row>
    <row r="1228" spans="1:7" x14ac:dyDescent="0.3">
      <c r="A1228" s="1" t="s">
        <v>1136</v>
      </c>
      <c r="B1228" s="1" t="s">
        <v>1616</v>
      </c>
      <c r="C1228" s="1" t="s">
        <v>920</v>
      </c>
      <c r="D1228" s="2" t="str">
        <f>HYPERLINK("https://inventaire.cncp.gouv.fr/fiches/2781/","2781")</f>
        <v>2781</v>
      </c>
      <c r="E1228" s="2" t="str">
        <f>HYPERLINK("http://www.intercariforef.org/formations/certification-95639.html","95639")</f>
        <v>95639</v>
      </c>
      <c r="F1228" s="3">
        <v>42893</v>
      </c>
      <c r="G1228" s="3">
        <v>42893</v>
      </c>
    </row>
    <row r="1229" spans="1:7" x14ac:dyDescent="0.3">
      <c r="A1229" s="1" t="s">
        <v>1136</v>
      </c>
      <c r="B1229" s="1" t="s">
        <v>1617</v>
      </c>
      <c r="C1229" s="1" t="s">
        <v>966</v>
      </c>
      <c r="D1229" s="2" t="str">
        <f>HYPERLINK("https://inventaire.cncp.gouv.fr/fiches/1507/","1507")</f>
        <v>1507</v>
      </c>
      <c r="E1229" s="2" t="str">
        <f>HYPERLINK("http://www.intercariforef.org/formations/certification-91915.html","91915")</f>
        <v>91915</v>
      </c>
      <c r="F1229" s="3">
        <v>42662</v>
      </c>
      <c r="G1229" s="3">
        <v>42718</v>
      </c>
    </row>
    <row r="1230" spans="1:7" x14ac:dyDescent="0.3">
      <c r="A1230" s="1" t="s">
        <v>1136</v>
      </c>
      <c r="B1230" s="1" t="s">
        <v>1618</v>
      </c>
      <c r="C1230" s="1" t="s">
        <v>1619</v>
      </c>
      <c r="D1230" s="2" t="str">
        <f>HYPERLINK("https://inventaire.cncp.gouv.fr/fiches/3766/","3766")</f>
        <v>3766</v>
      </c>
      <c r="E1230" s="2" t="str">
        <f>HYPERLINK("http://www.intercariforef.org/formations/certification-103951.html","103951")</f>
        <v>103951</v>
      </c>
      <c r="F1230" s="3">
        <v>43390</v>
      </c>
      <c r="G1230" s="3">
        <v>43390</v>
      </c>
    </row>
    <row r="1231" spans="1:7" x14ac:dyDescent="0.3">
      <c r="A1231" s="1" t="s">
        <v>1136</v>
      </c>
      <c r="B1231" s="1" t="s">
        <v>1620</v>
      </c>
      <c r="C1231" s="1" t="s">
        <v>966</v>
      </c>
      <c r="D1231" s="2" t="str">
        <f>HYPERLINK("https://inventaire.cncp.gouv.fr/fiches/1479/","1479")</f>
        <v>1479</v>
      </c>
      <c r="E1231" s="2" t="str">
        <f>HYPERLINK("http://www.intercariforef.org/formations/certification-93875.html","93875")</f>
        <v>93875</v>
      </c>
      <c r="F1231" s="3">
        <v>42744</v>
      </c>
      <c r="G1231" s="3">
        <v>42744</v>
      </c>
    </row>
    <row r="1232" spans="1:7" x14ac:dyDescent="0.3">
      <c r="A1232" s="1" t="s">
        <v>1136</v>
      </c>
      <c r="B1232" s="1" t="s">
        <v>1621</v>
      </c>
      <c r="C1232" s="1" t="s">
        <v>966</v>
      </c>
      <c r="D1232" s="2" t="str">
        <f>HYPERLINK("https://inventaire.cncp.gouv.fr/fiches/1490/","1490")</f>
        <v>1490</v>
      </c>
      <c r="E1232" s="2" t="str">
        <f>HYPERLINK("http://www.intercariforef.org/formations/certification-93981.html","93981")</f>
        <v>93981</v>
      </c>
      <c r="F1232" s="3">
        <v>42745</v>
      </c>
      <c r="G1232" s="3">
        <v>42745</v>
      </c>
    </row>
    <row r="1233" spans="1:7" x14ac:dyDescent="0.3">
      <c r="A1233" s="1" t="s">
        <v>1136</v>
      </c>
      <c r="B1233" s="1" t="s">
        <v>1622</v>
      </c>
      <c r="C1233" s="1" t="s">
        <v>966</v>
      </c>
      <c r="D1233" s="2" t="str">
        <f>HYPERLINK("https://inventaire.cncp.gouv.fr/fiches/1484/","1484")</f>
        <v>1484</v>
      </c>
      <c r="E1233" s="2" t="str">
        <f>HYPERLINK("http://www.intercariforef.org/formations/certification-90037.html","90037")</f>
        <v>90037</v>
      </c>
      <c r="F1233" s="3">
        <v>42558</v>
      </c>
      <c r="G1233" s="3">
        <v>42718</v>
      </c>
    </row>
    <row r="1234" spans="1:7" x14ac:dyDescent="0.3">
      <c r="A1234" s="1" t="s">
        <v>1136</v>
      </c>
      <c r="B1234" s="1" t="s">
        <v>1623</v>
      </c>
      <c r="C1234" s="1" t="s">
        <v>966</v>
      </c>
      <c r="D1234" s="2" t="str">
        <f>HYPERLINK("https://inventaire.cncp.gouv.fr/fiches/1519/","1519")</f>
        <v>1519</v>
      </c>
      <c r="E1234" s="2" t="str">
        <f>HYPERLINK("http://www.intercariforef.org/formations/certification-86355.html","86355")</f>
        <v>86355</v>
      </c>
      <c r="F1234" s="3">
        <v>42340</v>
      </c>
      <c r="G1234" s="3">
        <v>42718</v>
      </c>
    </row>
    <row r="1235" spans="1:7" x14ac:dyDescent="0.3">
      <c r="A1235" s="1" t="s">
        <v>1136</v>
      </c>
      <c r="B1235" s="1" t="s">
        <v>1624</v>
      </c>
      <c r="C1235" s="1" t="s">
        <v>966</v>
      </c>
      <c r="D1235" s="2" t="str">
        <f>HYPERLINK("https://inventaire.cncp.gouv.fr/fiches/1469/","1469")</f>
        <v>1469</v>
      </c>
      <c r="E1235" s="2" t="str">
        <f>HYPERLINK("http://www.intercariforef.org/formations/certification-91935.html","91935")</f>
        <v>91935</v>
      </c>
      <c r="F1235" s="3">
        <v>42662</v>
      </c>
      <c r="G1235" s="3">
        <v>42718</v>
      </c>
    </row>
    <row r="1236" spans="1:7" x14ac:dyDescent="0.3">
      <c r="A1236" s="1" t="s">
        <v>1136</v>
      </c>
      <c r="B1236" s="1" t="s">
        <v>1625</v>
      </c>
      <c r="C1236" s="1" t="s">
        <v>966</v>
      </c>
      <c r="D1236" s="2" t="str">
        <f>HYPERLINK("https://inventaire.cncp.gouv.fr/fiches/1482/","1482")</f>
        <v>1482</v>
      </c>
      <c r="E1236" s="2" t="str">
        <f>HYPERLINK("http://www.intercariforef.org/formations/certification-90047.html","90047")</f>
        <v>90047</v>
      </c>
      <c r="F1236" s="3">
        <v>42558</v>
      </c>
      <c r="G1236" s="3">
        <v>42718</v>
      </c>
    </row>
    <row r="1237" spans="1:7" x14ac:dyDescent="0.3">
      <c r="A1237" s="1" t="s">
        <v>1136</v>
      </c>
      <c r="B1237" s="1" t="s">
        <v>1626</v>
      </c>
      <c r="C1237" s="1" t="s">
        <v>966</v>
      </c>
      <c r="D1237" s="2" t="str">
        <f>HYPERLINK("https://inventaire.cncp.gouv.fr/fiches/1483/","1483")</f>
        <v>1483</v>
      </c>
      <c r="E1237" s="2" t="str">
        <f>HYPERLINK("http://www.intercariforef.org/formations/certification-91919.html","91919")</f>
        <v>91919</v>
      </c>
      <c r="F1237" s="3">
        <v>42662</v>
      </c>
      <c r="G1237" s="3">
        <v>42718</v>
      </c>
    </row>
    <row r="1238" spans="1:7" x14ac:dyDescent="0.3">
      <c r="A1238" s="1" t="s">
        <v>1136</v>
      </c>
      <c r="B1238" s="1" t="s">
        <v>1627</v>
      </c>
      <c r="C1238" s="1" t="s">
        <v>966</v>
      </c>
      <c r="D1238" s="2" t="str">
        <f>HYPERLINK("https://inventaire.cncp.gouv.fr/fiches/1477/","1477")</f>
        <v>1477</v>
      </c>
      <c r="E1238" s="2" t="str">
        <f>HYPERLINK("http://www.intercariforef.org/formations/certification-91925.html","91925")</f>
        <v>91925</v>
      </c>
      <c r="F1238" s="3">
        <v>42662</v>
      </c>
      <c r="G1238" s="3">
        <v>42718</v>
      </c>
    </row>
    <row r="1239" spans="1:7" x14ac:dyDescent="0.3">
      <c r="A1239" s="1" t="s">
        <v>1136</v>
      </c>
      <c r="B1239" s="1" t="s">
        <v>1628</v>
      </c>
      <c r="C1239" s="1" t="s">
        <v>966</v>
      </c>
      <c r="D1239" s="2" t="str">
        <f>HYPERLINK("https://inventaire.cncp.gouv.fr/fiches/1489/","1489")</f>
        <v>1489</v>
      </c>
      <c r="E1239" s="2" t="str">
        <f>HYPERLINK("http://www.intercariforef.org/formations/certification-93913.html","93913")</f>
        <v>93913</v>
      </c>
      <c r="F1239" s="3">
        <v>42744</v>
      </c>
      <c r="G1239" s="3">
        <v>42744</v>
      </c>
    </row>
    <row r="1240" spans="1:7" x14ac:dyDescent="0.3">
      <c r="A1240" s="1" t="s">
        <v>1136</v>
      </c>
      <c r="B1240" s="1" t="s">
        <v>1629</v>
      </c>
      <c r="C1240" s="1" t="s">
        <v>966</v>
      </c>
      <c r="D1240" s="2" t="str">
        <f>HYPERLINK("https://inventaire.cncp.gouv.fr/fiches/1471/","1471")</f>
        <v>1471</v>
      </c>
      <c r="E1240" s="2" t="str">
        <f>HYPERLINK("http://www.intercariforef.org/formations/certification-90051.html","90051")</f>
        <v>90051</v>
      </c>
      <c r="F1240" s="3">
        <v>42558</v>
      </c>
      <c r="G1240" s="3">
        <v>42718</v>
      </c>
    </row>
    <row r="1241" spans="1:7" x14ac:dyDescent="0.3">
      <c r="A1241" s="1" t="s">
        <v>1136</v>
      </c>
      <c r="B1241" s="1" t="s">
        <v>1630</v>
      </c>
      <c r="C1241" s="1" t="s">
        <v>966</v>
      </c>
      <c r="D1241" s="2" t="str">
        <f>HYPERLINK("https://inventaire.cncp.gouv.fr/fiches/1480/","1480")</f>
        <v>1480</v>
      </c>
      <c r="E1241" s="2" t="str">
        <f>HYPERLINK("http://www.intercariforef.org/formations/certification-91921.html","91921")</f>
        <v>91921</v>
      </c>
      <c r="F1241" s="3">
        <v>42662</v>
      </c>
      <c r="G1241" s="3">
        <v>42718</v>
      </c>
    </row>
    <row r="1242" spans="1:7" x14ac:dyDescent="0.3">
      <c r="A1242" s="1" t="s">
        <v>1136</v>
      </c>
      <c r="B1242" s="1" t="s">
        <v>1631</v>
      </c>
      <c r="C1242" s="1" t="s">
        <v>1632</v>
      </c>
      <c r="D1242" s="2" t="str">
        <f>HYPERLINK("https://inventaire.cncp.gouv.fr/fiches/3432/","3432")</f>
        <v>3432</v>
      </c>
      <c r="E1242" s="2" t="str">
        <f>HYPERLINK("http://www.intercariforef.org/formations/certification-100615.html","100615")</f>
        <v>100615</v>
      </c>
      <c r="F1242" s="3">
        <v>43193</v>
      </c>
      <c r="G1242" s="3">
        <v>43193</v>
      </c>
    </row>
    <row r="1243" spans="1:7" x14ac:dyDescent="0.3">
      <c r="A1243" s="1" t="s">
        <v>1136</v>
      </c>
      <c r="B1243" s="1" t="s">
        <v>1633</v>
      </c>
      <c r="C1243" s="1" t="s">
        <v>1594</v>
      </c>
      <c r="D1243" s="2" t="str">
        <f>HYPERLINK("https://inventaire.cncp.gouv.fr/fiches/2615/","2615")</f>
        <v>2615</v>
      </c>
      <c r="E1243" s="2" t="str">
        <f>HYPERLINK("http://www.intercariforef.org/formations/certification-95457.html","95457")</f>
        <v>95457</v>
      </c>
      <c r="F1243" s="3">
        <v>42884</v>
      </c>
      <c r="G1243" s="3">
        <v>43087</v>
      </c>
    </row>
    <row r="1244" spans="1:7" x14ac:dyDescent="0.3">
      <c r="A1244" s="1" t="s">
        <v>1136</v>
      </c>
      <c r="B1244" s="1" t="s">
        <v>1634</v>
      </c>
      <c r="C1244" s="1" t="s">
        <v>1632</v>
      </c>
      <c r="D1244" s="2" t="str">
        <f>HYPERLINK("https://inventaire.cncp.gouv.fr/fiches/3431/","3431")</f>
        <v>3431</v>
      </c>
      <c r="E1244" s="2" t="str">
        <f>HYPERLINK("http://www.intercariforef.org/formations/certification-100685.html","100685")</f>
        <v>100685</v>
      </c>
      <c r="F1244" s="3">
        <v>43195</v>
      </c>
      <c r="G1244" s="3">
        <v>43195</v>
      </c>
    </row>
    <row r="1245" spans="1:7" x14ac:dyDescent="0.3">
      <c r="A1245" s="1" t="s">
        <v>1136</v>
      </c>
      <c r="B1245" s="1" t="s">
        <v>1635</v>
      </c>
      <c r="C1245" s="1" t="s">
        <v>1636</v>
      </c>
      <c r="D1245" s="2" t="str">
        <f>HYPERLINK("https://inventaire.cncp.gouv.fr/fiches/2363/","2363")</f>
        <v>2363</v>
      </c>
      <c r="E1245" s="2" t="str">
        <f>HYPERLINK("http://www.intercariforef.org/formations/certification-94965.html","94965")</f>
        <v>94965</v>
      </c>
      <c r="F1245" s="3">
        <v>42838</v>
      </c>
      <c r="G1245" s="3">
        <v>42838</v>
      </c>
    </row>
    <row r="1246" spans="1:7" x14ac:dyDescent="0.3">
      <c r="A1246" s="1" t="s">
        <v>1136</v>
      </c>
      <c r="B1246" s="1" t="s">
        <v>1637</v>
      </c>
      <c r="C1246" s="1" t="s">
        <v>347</v>
      </c>
      <c r="D1246" s="2" t="str">
        <f>HYPERLINK("https://inventaire.cncp.gouv.fr/fiches/1899/","1899")</f>
        <v>1899</v>
      </c>
      <c r="E1246" s="2" t="str">
        <f>HYPERLINK("http://www.intercariforef.org/formations/certification-98377.html","98377")</f>
        <v>98377</v>
      </c>
      <c r="F1246" s="3">
        <v>43027</v>
      </c>
      <c r="G1246" s="3">
        <v>43027</v>
      </c>
    </row>
    <row r="1247" spans="1:7" x14ac:dyDescent="0.3">
      <c r="A1247" s="1" t="s">
        <v>1136</v>
      </c>
      <c r="B1247" s="1" t="s">
        <v>1638</v>
      </c>
      <c r="C1247" s="1" t="s">
        <v>859</v>
      </c>
      <c r="D1247" s="2" t="str">
        <f>HYPERLINK("https://inventaire.cncp.gouv.fr/fiches/3341/","3341")</f>
        <v>3341</v>
      </c>
      <c r="E1247" s="2" t="str">
        <f>HYPERLINK("http://www.intercariforef.org/formations/certification-100163.html","100163")</f>
        <v>100163</v>
      </c>
      <c r="F1247" s="3">
        <v>43154</v>
      </c>
      <c r="G1247" s="3">
        <v>43154</v>
      </c>
    </row>
    <row r="1248" spans="1:7" x14ac:dyDescent="0.3">
      <c r="A1248" s="1" t="s">
        <v>1136</v>
      </c>
      <c r="B1248" s="1" t="s">
        <v>1639</v>
      </c>
      <c r="C1248" s="1" t="s">
        <v>1640</v>
      </c>
      <c r="D1248" s="2" t="str">
        <f>HYPERLINK("https://inventaire.cncp.gouv.fr/fiches/2404/","2404")</f>
        <v>2404</v>
      </c>
      <c r="E1248" s="2" t="str">
        <f>HYPERLINK("http://www.intercariforef.org/formations/certification-92069.html","92069")</f>
        <v>92069</v>
      </c>
      <c r="F1248" s="3">
        <v>42667</v>
      </c>
      <c r="G1248" s="3">
        <v>42718</v>
      </c>
    </row>
    <row r="1249" spans="1:7" x14ac:dyDescent="0.3">
      <c r="A1249" s="1" t="s">
        <v>1136</v>
      </c>
      <c r="B1249" s="1" t="s">
        <v>1641</v>
      </c>
      <c r="C1249" s="1" t="s">
        <v>486</v>
      </c>
      <c r="D1249" s="2" t="str">
        <f>HYPERLINK("https://inventaire.cncp.gouv.fr/fiches/2085/","2085")</f>
        <v>2085</v>
      </c>
      <c r="E1249" s="2" t="str">
        <f>HYPERLINK("http://www.intercariforef.org/formations/certification-90013.html","90013")</f>
        <v>90013</v>
      </c>
      <c r="F1249" s="3">
        <v>42558</v>
      </c>
      <c r="G1249" s="3">
        <v>42718</v>
      </c>
    </row>
    <row r="1250" spans="1:7" x14ac:dyDescent="0.3">
      <c r="A1250" s="1" t="s">
        <v>1136</v>
      </c>
      <c r="B1250" s="1" t="s">
        <v>1642</v>
      </c>
      <c r="C1250" s="1" t="s">
        <v>1310</v>
      </c>
      <c r="D1250" s="2" t="str">
        <f>HYPERLINK("https://inventaire.cncp.gouv.fr/fiches/1270/","1270")</f>
        <v>1270</v>
      </c>
      <c r="E1250" s="2" t="str">
        <f>HYPERLINK("http://www.intercariforef.org/formations/certification-86365.html","86365")</f>
        <v>86365</v>
      </c>
      <c r="F1250" s="3">
        <v>42340</v>
      </c>
      <c r="G1250" s="3">
        <v>42718</v>
      </c>
    </row>
    <row r="1251" spans="1:7" x14ac:dyDescent="0.3">
      <c r="A1251" s="1" t="s">
        <v>1136</v>
      </c>
      <c r="B1251" s="1" t="s">
        <v>1643</v>
      </c>
      <c r="C1251" s="1" t="s">
        <v>1310</v>
      </c>
      <c r="D1251" s="2" t="str">
        <f>HYPERLINK("https://inventaire.cncp.gouv.fr/fiches/1266/","1266")</f>
        <v>1266</v>
      </c>
      <c r="E1251" s="2" t="str">
        <f>HYPERLINK("http://www.intercariforef.org/formations/certification-86363.html","86363")</f>
        <v>86363</v>
      </c>
      <c r="F1251" s="3">
        <v>42340</v>
      </c>
      <c r="G1251" s="3">
        <v>42718</v>
      </c>
    </row>
    <row r="1252" spans="1:7" x14ac:dyDescent="0.3">
      <c r="A1252" s="1" t="s">
        <v>1136</v>
      </c>
      <c r="B1252" s="1" t="s">
        <v>1644</v>
      </c>
      <c r="C1252" s="1" t="s">
        <v>1310</v>
      </c>
      <c r="D1252" s="2" t="str">
        <f>HYPERLINK("https://inventaire.cncp.gouv.fr/fiches/555/","555")</f>
        <v>555</v>
      </c>
      <c r="E1252" s="2" t="str">
        <f>HYPERLINK("http://www.intercariforef.org/formations/certification-84885.html","84885")</f>
        <v>84885</v>
      </c>
      <c r="F1252" s="3">
        <v>42177</v>
      </c>
      <c r="G1252" s="3">
        <v>42177</v>
      </c>
    </row>
    <row r="1253" spans="1:7" x14ac:dyDescent="0.3">
      <c r="A1253" s="1" t="s">
        <v>1136</v>
      </c>
      <c r="B1253" s="1" t="s">
        <v>1645</v>
      </c>
      <c r="C1253" s="1" t="s">
        <v>1310</v>
      </c>
      <c r="D1253" s="2" t="str">
        <f>HYPERLINK("https://inventaire.cncp.gouv.fr/fiches/1272/","1272")</f>
        <v>1272</v>
      </c>
      <c r="E1253" s="2" t="str">
        <f>HYPERLINK("http://www.intercariforef.org/formations/certification-86360.html","86360")</f>
        <v>86360</v>
      </c>
      <c r="F1253" s="3">
        <v>42340</v>
      </c>
      <c r="G1253" s="3">
        <v>42718</v>
      </c>
    </row>
    <row r="1254" spans="1:7" x14ac:dyDescent="0.3">
      <c r="A1254" s="1" t="s">
        <v>1136</v>
      </c>
      <c r="B1254" s="1" t="s">
        <v>1646</v>
      </c>
      <c r="C1254" s="1" t="s">
        <v>1310</v>
      </c>
      <c r="D1254" s="2" t="str">
        <f>HYPERLINK("https://inventaire.cncp.gouv.fr/fiches/1269/","1269")</f>
        <v>1269</v>
      </c>
      <c r="E1254" s="2" t="str">
        <f>HYPERLINK("http://www.intercariforef.org/formations/certification-86364.html","86364")</f>
        <v>86364</v>
      </c>
      <c r="F1254" s="3">
        <v>42340</v>
      </c>
      <c r="G1254" s="3">
        <v>42718</v>
      </c>
    </row>
    <row r="1255" spans="1:7" x14ac:dyDescent="0.3">
      <c r="A1255" s="1" t="s">
        <v>1136</v>
      </c>
      <c r="B1255" s="1" t="s">
        <v>1647</v>
      </c>
      <c r="C1255" s="1" t="s">
        <v>1310</v>
      </c>
      <c r="D1255" s="2" t="str">
        <f>HYPERLINK("https://inventaire.cncp.gouv.fr/fiches/1267/","1267")</f>
        <v>1267</v>
      </c>
      <c r="E1255" s="2" t="str">
        <f>HYPERLINK("http://www.intercariforef.org/formations/certification-86366.html","86366")</f>
        <v>86366</v>
      </c>
      <c r="F1255" s="3">
        <v>42340</v>
      </c>
      <c r="G1255" s="3">
        <v>42718</v>
      </c>
    </row>
    <row r="1256" spans="1:7" x14ac:dyDescent="0.3">
      <c r="A1256" s="1" t="s">
        <v>1136</v>
      </c>
      <c r="B1256" s="1" t="s">
        <v>1648</v>
      </c>
      <c r="C1256" s="1" t="s">
        <v>1310</v>
      </c>
      <c r="D1256" s="2" t="str">
        <f>HYPERLINK("https://inventaire.cncp.gouv.fr/fiches/1271/","1271")</f>
        <v>1271</v>
      </c>
      <c r="E1256" s="2" t="str">
        <f>HYPERLINK("http://www.intercariforef.org/formations/certification-86359.html","86359")</f>
        <v>86359</v>
      </c>
      <c r="F1256" s="3">
        <v>42340</v>
      </c>
      <c r="G1256" s="3">
        <v>42718</v>
      </c>
    </row>
    <row r="1257" spans="1:7" x14ac:dyDescent="0.3">
      <c r="A1257" s="1" t="s">
        <v>1136</v>
      </c>
      <c r="B1257" s="1" t="s">
        <v>1649</v>
      </c>
      <c r="C1257" s="1" t="s">
        <v>1310</v>
      </c>
      <c r="D1257" s="2" t="str">
        <f>HYPERLINK("https://inventaire.cncp.gouv.fr/fiches/999/","999")</f>
        <v>999</v>
      </c>
      <c r="E1257" s="2" t="str">
        <f>HYPERLINK("http://www.intercariforef.org/formations/certification-85021.html","85021")</f>
        <v>85021</v>
      </c>
      <c r="F1257" s="3">
        <v>42184</v>
      </c>
      <c r="G1257" s="3">
        <v>42184</v>
      </c>
    </row>
    <row r="1258" spans="1:7" x14ac:dyDescent="0.3">
      <c r="A1258" s="1" t="s">
        <v>1136</v>
      </c>
      <c r="B1258" s="1" t="s">
        <v>1650</v>
      </c>
      <c r="C1258" s="1" t="s">
        <v>1310</v>
      </c>
      <c r="D1258" s="2" t="str">
        <f>HYPERLINK("https://inventaire.cncp.gouv.fr/fiches/1264/","1264")</f>
        <v>1264</v>
      </c>
      <c r="E1258" s="2" t="str">
        <f>HYPERLINK("http://www.intercariforef.org/formations/certification-86362.html","86362")</f>
        <v>86362</v>
      </c>
      <c r="F1258" s="3">
        <v>42340</v>
      </c>
      <c r="G1258" s="3">
        <v>42718</v>
      </c>
    </row>
    <row r="1259" spans="1:7" x14ac:dyDescent="0.3">
      <c r="A1259" s="1" t="s">
        <v>1136</v>
      </c>
      <c r="B1259" s="1" t="s">
        <v>1651</v>
      </c>
      <c r="C1259" s="1" t="s">
        <v>1652</v>
      </c>
      <c r="D1259" s="2" t="str">
        <f>HYPERLINK("https://inventaire.cncp.gouv.fr/fiches/3644/","3644")</f>
        <v>3644</v>
      </c>
      <c r="E1259" s="2" t="str">
        <f>HYPERLINK("http://www.intercariforef.org/formations/certification-102501.html","102501")</f>
        <v>102501</v>
      </c>
      <c r="F1259" s="3">
        <v>43298</v>
      </c>
      <c r="G1259" s="3">
        <v>43298</v>
      </c>
    </row>
    <row r="1260" spans="1:7" x14ac:dyDescent="0.3">
      <c r="A1260" s="1" t="s">
        <v>1136</v>
      </c>
      <c r="B1260" s="1" t="s">
        <v>1653</v>
      </c>
      <c r="C1260" s="1" t="s">
        <v>1129</v>
      </c>
      <c r="D1260" s="2" t="str">
        <f>HYPERLINK("https://inventaire.cncp.gouv.fr/fiches/1000/","1000")</f>
        <v>1000</v>
      </c>
      <c r="E1260" s="2" t="str">
        <f>HYPERLINK("http://www.intercariforef.org/formations/certification-85175.html","85175")</f>
        <v>85175</v>
      </c>
      <c r="F1260" s="3">
        <v>42201</v>
      </c>
      <c r="G1260" s="3">
        <v>42209</v>
      </c>
    </row>
    <row r="1261" spans="1:7" x14ac:dyDescent="0.3">
      <c r="A1261" s="1" t="s">
        <v>1136</v>
      </c>
      <c r="B1261" s="1" t="s">
        <v>1654</v>
      </c>
      <c r="C1261" s="1" t="s">
        <v>1129</v>
      </c>
      <c r="D1261" s="2" t="str">
        <f>HYPERLINK("https://inventaire.cncp.gouv.fr/fiches/1027/","1027")</f>
        <v>1027</v>
      </c>
      <c r="E1261" s="2" t="str">
        <f>HYPERLINK("http://www.intercariforef.org/formations/certification-85176.html","85176")</f>
        <v>85176</v>
      </c>
      <c r="F1261" s="3">
        <v>42201</v>
      </c>
      <c r="G1261" s="3">
        <v>42209</v>
      </c>
    </row>
    <row r="1262" spans="1:7" x14ac:dyDescent="0.3">
      <c r="A1262" s="1" t="s">
        <v>1136</v>
      </c>
      <c r="B1262" s="1" t="s">
        <v>1655</v>
      </c>
      <c r="C1262" s="1" t="s">
        <v>1129</v>
      </c>
      <c r="D1262" s="2" t="str">
        <f>HYPERLINK("https://inventaire.cncp.gouv.fr/fiches/1032/","1032")</f>
        <v>1032</v>
      </c>
      <c r="E1262" s="2" t="str">
        <f>HYPERLINK("http://www.intercariforef.org/formations/certification-85177.html","85177")</f>
        <v>85177</v>
      </c>
      <c r="F1262" s="3">
        <v>42201</v>
      </c>
      <c r="G1262" s="3">
        <v>42209</v>
      </c>
    </row>
    <row r="1263" spans="1:7" x14ac:dyDescent="0.3">
      <c r="A1263" s="1" t="s">
        <v>1136</v>
      </c>
      <c r="B1263" s="1" t="s">
        <v>1656</v>
      </c>
      <c r="C1263" s="1" t="s">
        <v>1129</v>
      </c>
      <c r="D1263" s="2" t="str">
        <f>HYPERLINK("https://inventaire.cncp.gouv.fr/fiches/1029/","1029")</f>
        <v>1029</v>
      </c>
      <c r="E1263" s="2" t="str">
        <f>HYPERLINK("http://www.intercariforef.org/formations/certification-85178.html","85178")</f>
        <v>85178</v>
      </c>
      <c r="F1263" s="3">
        <v>42201</v>
      </c>
      <c r="G1263" s="3">
        <v>42209</v>
      </c>
    </row>
    <row r="1264" spans="1:7" x14ac:dyDescent="0.3">
      <c r="A1264" s="1" t="s">
        <v>1136</v>
      </c>
      <c r="B1264" s="1" t="s">
        <v>1657</v>
      </c>
      <c r="C1264" s="1" t="s">
        <v>1658</v>
      </c>
      <c r="D1264" s="2" t="str">
        <f>HYPERLINK("https://inventaire.cncp.gouv.fr/fiches/2586/","2586")</f>
        <v>2586</v>
      </c>
      <c r="E1264" s="2" t="str">
        <f>HYPERLINK("http://www.intercariforef.org/formations/certification-104063.html","104063")</f>
        <v>104063</v>
      </c>
      <c r="F1264" s="3">
        <v>43395</v>
      </c>
      <c r="G1264" s="3">
        <v>43395</v>
      </c>
    </row>
    <row r="1265" spans="1:7" x14ac:dyDescent="0.3">
      <c r="A1265" s="1" t="s">
        <v>1136</v>
      </c>
      <c r="B1265" s="1" t="s">
        <v>1659</v>
      </c>
      <c r="C1265" s="1" t="s">
        <v>1660</v>
      </c>
      <c r="D1265" s="2" t="str">
        <f>HYPERLINK("https://inventaire.cncp.gouv.fr/fiches/865/","865")</f>
        <v>865</v>
      </c>
      <c r="E1265" s="2" t="str">
        <f>HYPERLINK("http://www.intercariforef.org/formations/certification-88579.html","88579")</f>
        <v>88579</v>
      </c>
      <c r="F1265" s="3">
        <v>42481</v>
      </c>
      <c r="G1265" s="3">
        <v>42718</v>
      </c>
    </row>
    <row r="1266" spans="1:7" x14ac:dyDescent="0.3">
      <c r="A1266" s="1" t="s">
        <v>1136</v>
      </c>
      <c r="B1266" s="1" t="s">
        <v>1661</v>
      </c>
      <c r="C1266" s="1" t="s">
        <v>1660</v>
      </c>
      <c r="D1266" s="2" t="str">
        <f>HYPERLINK("https://inventaire.cncp.gouv.fr/fiches/656/","656")</f>
        <v>656</v>
      </c>
      <c r="E1266" s="2" t="str">
        <f>HYPERLINK("http://www.intercariforef.org/formations/certification-88583.html","88583")</f>
        <v>88583</v>
      </c>
      <c r="F1266" s="3">
        <v>42481</v>
      </c>
      <c r="G1266" s="3">
        <v>42481</v>
      </c>
    </row>
    <row r="1267" spans="1:7" x14ac:dyDescent="0.3">
      <c r="A1267" s="1" t="s">
        <v>1136</v>
      </c>
      <c r="B1267" s="1" t="s">
        <v>1662</v>
      </c>
      <c r="C1267" s="1" t="s">
        <v>1660</v>
      </c>
      <c r="D1267" s="2" t="str">
        <f>HYPERLINK("https://inventaire.cncp.gouv.fr/fiches/677/","677")</f>
        <v>677</v>
      </c>
      <c r="E1267" s="2" t="str">
        <f>HYPERLINK("http://www.intercariforef.org/formations/certification-88585.html","88585")</f>
        <v>88585</v>
      </c>
      <c r="F1267" s="3">
        <v>42481</v>
      </c>
      <c r="G1267" s="3">
        <v>42481</v>
      </c>
    </row>
    <row r="1268" spans="1:7" x14ac:dyDescent="0.3">
      <c r="A1268" s="1" t="s">
        <v>1136</v>
      </c>
      <c r="B1268" s="1" t="s">
        <v>1663</v>
      </c>
      <c r="C1268" s="1" t="s">
        <v>1660</v>
      </c>
      <c r="D1268" s="2" t="str">
        <f>HYPERLINK("https://inventaire.cncp.gouv.fr/fiches/1727/","1727")</f>
        <v>1727</v>
      </c>
      <c r="E1268" s="2" t="str">
        <f>HYPERLINK("http://www.intercariforef.org/formations/certification-88581.html","88581")</f>
        <v>88581</v>
      </c>
      <c r="F1268" s="3">
        <v>42481</v>
      </c>
      <c r="G1268" s="3">
        <v>42481</v>
      </c>
    </row>
    <row r="1269" spans="1:7" x14ac:dyDescent="0.3">
      <c r="A1269" s="1" t="s">
        <v>1136</v>
      </c>
      <c r="B1269" s="1" t="s">
        <v>1664</v>
      </c>
      <c r="C1269" s="1" t="s">
        <v>1660</v>
      </c>
      <c r="D1269" s="2" t="str">
        <f>HYPERLINK("https://inventaire.cncp.gouv.fr/fiches/700/","700")</f>
        <v>700</v>
      </c>
      <c r="E1269" s="2" t="str">
        <f>HYPERLINK("http://www.intercariforef.org/formations/certification-90253.html","90253")</f>
        <v>90253</v>
      </c>
      <c r="F1269" s="3">
        <v>42563</v>
      </c>
      <c r="G1269" s="3">
        <v>42563</v>
      </c>
    </row>
    <row r="1270" spans="1:7" x14ac:dyDescent="0.3">
      <c r="A1270" s="1" t="s">
        <v>1136</v>
      </c>
      <c r="B1270" s="1" t="s">
        <v>1665</v>
      </c>
      <c r="C1270" s="1" t="s">
        <v>1660</v>
      </c>
      <c r="D1270" s="2" t="str">
        <f>HYPERLINK("https://inventaire.cncp.gouv.fr/fiches/706/","706")</f>
        <v>706</v>
      </c>
      <c r="E1270" s="2" t="str">
        <f>HYPERLINK("http://www.intercariforef.org/formations/certification-88577.html","88577")</f>
        <v>88577</v>
      </c>
      <c r="F1270" s="3">
        <v>42481</v>
      </c>
      <c r="G1270" s="3">
        <v>43087</v>
      </c>
    </row>
    <row r="1271" spans="1:7" x14ac:dyDescent="0.3">
      <c r="A1271" s="1" t="s">
        <v>1136</v>
      </c>
      <c r="B1271" s="1" t="s">
        <v>1666</v>
      </c>
      <c r="C1271" s="1" t="s">
        <v>1188</v>
      </c>
      <c r="D1271" s="2" t="str">
        <f>HYPERLINK("https://inventaire.cncp.gouv.fr/fiches/3305/","3305")</f>
        <v>3305</v>
      </c>
      <c r="E1271" s="2" t="str">
        <f>HYPERLINK("http://www.intercariforef.org/formations/certification-101193.html","101193")</f>
        <v>101193</v>
      </c>
      <c r="F1271" s="3">
        <v>43250</v>
      </c>
      <c r="G1271" s="3">
        <v>43250</v>
      </c>
    </row>
    <row r="1272" spans="1:7" ht="26.2" x14ac:dyDescent="0.3">
      <c r="A1272" s="1" t="s">
        <v>1136</v>
      </c>
      <c r="B1272" s="1" t="s">
        <v>1667</v>
      </c>
      <c r="C1272" s="1" t="s">
        <v>1188</v>
      </c>
      <c r="D1272" s="2" t="str">
        <f>HYPERLINK("https://inventaire.cncp.gouv.fr/fiches/2499/","2499")</f>
        <v>2499</v>
      </c>
      <c r="E1272" s="2" t="str">
        <f>HYPERLINK("http://www.intercariforef.org/formations/certification-95459.html","95459")</f>
        <v>95459</v>
      </c>
      <c r="F1272" s="3">
        <v>42884</v>
      </c>
      <c r="G1272" s="3">
        <v>42884</v>
      </c>
    </row>
    <row r="1273" spans="1:7" x14ac:dyDescent="0.3">
      <c r="A1273" s="1" t="s">
        <v>1136</v>
      </c>
      <c r="B1273" s="1" t="s">
        <v>1668</v>
      </c>
      <c r="C1273" s="1" t="s">
        <v>1669</v>
      </c>
      <c r="D1273" s="2" t="str">
        <f>HYPERLINK("https://inventaire.cncp.gouv.fr/fiches/137/","137")</f>
        <v>137</v>
      </c>
      <c r="E1273" s="2" t="str">
        <f>HYPERLINK("http://www.intercariforef.org/formations/certification-84522.html","84522")</f>
        <v>84522</v>
      </c>
      <c r="F1273" s="3">
        <v>42114</v>
      </c>
      <c r="G1273" s="3">
        <v>43206</v>
      </c>
    </row>
    <row r="1274" spans="1:7" x14ac:dyDescent="0.3">
      <c r="A1274" s="1" t="s">
        <v>1136</v>
      </c>
      <c r="B1274" s="1" t="s">
        <v>1670</v>
      </c>
      <c r="C1274" s="1" t="s">
        <v>966</v>
      </c>
      <c r="D1274" s="2" t="str">
        <f>HYPERLINK("https://inventaire.cncp.gouv.fr/fiches/1470/","1470")</f>
        <v>1470</v>
      </c>
      <c r="E1274" s="2" t="str">
        <f>HYPERLINK("http://www.intercariforef.org/formations/certification-91933.html","91933")</f>
        <v>91933</v>
      </c>
      <c r="F1274" s="3">
        <v>42662</v>
      </c>
      <c r="G1274" s="3">
        <v>42718</v>
      </c>
    </row>
    <row r="1275" spans="1:7" x14ac:dyDescent="0.3">
      <c r="A1275" s="1" t="s">
        <v>1136</v>
      </c>
      <c r="B1275" s="1" t="s">
        <v>1671</v>
      </c>
      <c r="C1275" s="1" t="s">
        <v>413</v>
      </c>
      <c r="D1275" s="2" t="str">
        <f>HYPERLINK("https://inventaire.cncp.gouv.fr/fiches/3613/","3613")</f>
        <v>3613</v>
      </c>
      <c r="E1275" s="2" t="str">
        <f>HYPERLINK("http://www.intercariforef.org/formations/certification-102547.html","102547")</f>
        <v>102547</v>
      </c>
      <c r="F1275" s="3">
        <v>43298</v>
      </c>
      <c r="G1275" s="3">
        <v>43298</v>
      </c>
    </row>
    <row r="1276" spans="1:7" x14ac:dyDescent="0.3">
      <c r="A1276" s="1" t="s">
        <v>1136</v>
      </c>
      <c r="B1276" s="1" t="s">
        <v>1672</v>
      </c>
      <c r="C1276" s="1" t="s">
        <v>602</v>
      </c>
      <c r="D1276" s="2" t="str">
        <f>HYPERLINK("https://inventaire.cncp.gouv.fr/fiches/2341/","2341")</f>
        <v>2341</v>
      </c>
      <c r="E1276" s="2" t="str">
        <f>HYPERLINK("http://www.intercariforef.org/formations/certification-93887.html","93887")</f>
        <v>93887</v>
      </c>
      <c r="F1276" s="3">
        <v>42744</v>
      </c>
      <c r="G1276" s="3">
        <v>42979</v>
      </c>
    </row>
    <row r="1277" spans="1:7" x14ac:dyDescent="0.3">
      <c r="A1277" s="1" t="s">
        <v>1136</v>
      </c>
      <c r="B1277" s="1" t="s">
        <v>1673</v>
      </c>
      <c r="C1277" s="1" t="s">
        <v>602</v>
      </c>
      <c r="D1277" s="2" t="str">
        <f>HYPERLINK("https://inventaire.cncp.gouv.fr/fiches/2345/","2345")</f>
        <v>2345</v>
      </c>
      <c r="E1277" s="2" t="str">
        <f>HYPERLINK("http://www.intercariforef.org/formations/certification-93883.html","93883")</f>
        <v>93883</v>
      </c>
      <c r="F1277" s="3">
        <v>42744</v>
      </c>
      <c r="G1277" s="3">
        <v>42979</v>
      </c>
    </row>
    <row r="1278" spans="1:7" x14ac:dyDescent="0.3">
      <c r="A1278" s="1" t="s">
        <v>1136</v>
      </c>
      <c r="B1278" s="1" t="s">
        <v>1674</v>
      </c>
      <c r="C1278" s="1" t="s">
        <v>1674</v>
      </c>
      <c r="D1278" s="2" t="str">
        <f>HYPERLINK("https://inventaire.cncp.gouv.fr/fiches/3807/","3807")</f>
        <v>3807</v>
      </c>
      <c r="E1278" s="2" t="str">
        <f>HYPERLINK("http://www.intercariforef.org/formations/certification-102169.html","102169")</f>
        <v>102169</v>
      </c>
      <c r="F1278" s="3">
        <v>43293</v>
      </c>
      <c r="G1278" s="3">
        <v>43293</v>
      </c>
    </row>
    <row r="1279" spans="1:7" x14ac:dyDescent="0.3">
      <c r="A1279" s="1" t="s">
        <v>1136</v>
      </c>
      <c r="B1279" s="1" t="s">
        <v>1675</v>
      </c>
      <c r="C1279" s="1" t="s">
        <v>920</v>
      </c>
      <c r="D1279" s="2" t="str">
        <f>HYPERLINK("https://inventaire.cncp.gouv.fr/fiches/2443/","2443")</f>
        <v>2443</v>
      </c>
      <c r="E1279" s="2" t="str">
        <f>HYPERLINK("http://www.intercariforef.org/formations/certification-93831.html","93831")</f>
        <v>93831</v>
      </c>
      <c r="F1279" s="3">
        <v>42740</v>
      </c>
      <c r="G1279" s="3">
        <v>42740</v>
      </c>
    </row>
    <row r="1280" spans="1:7" x14ac:dyDescent="0.3">
      <c r="A1280" s="1" t="s">
        <v>1136</v>
      </c>
      <c r="B1280" s="1" t="s">
        <v>1676</v>
      </c>
      <c r="C1280" s="1" t="s">
        <v>1677</v>
      </c>
      <c r="D1280" s="2" t="str">
        <f>HYPERLINK("https://inventaire.cncp.gouv.fr/fiches/2381/","2381")</f>
        <v>2381</v>
      </c>
      <c r="E1280" s="2" t="str">
        <f>HYPERLINK("http://www.intercariforef.org/formations/certification-93761.html","93761")</f>
        <v>93761</v>
      </c>
      <c r="F1280" s="3">
        <v>42725</v>
      </c>
      <c r="G1280" s="3">
        <v>42725</v>
      </c>
    </row>
    <row r="1281" spans="1:7" x14ac:dyDescent="0.3">
      <c r="A1281" s="1" t="s">
        <v>1136</v>
      </c>
      <c r="B1281" s="1" t="s">
        <v>1678</v>
      </c>
      <c r="C1281" s="1" t="s">
        <v>966</v>
      </c>
      <c r="D1281" s="2" t="str">
        <f>HYPERLINK("https://inventaire.cncp.gouv.fr/fiches/1488/","1488")</f>
        <v>1488</v>
      </c>
      <c r="E1281" s="2" t="str">
        <f>HYPERLINK("http://www.intercariforef.org/formations/certification-94847.html","94847")</f>
        <v>94847</v>
      </c>
      <c r="F1281" s="3">
        <v>42836</v>
      </c>
      <c r="G1281" s="3">
        <v>42836</v>
      </c>
    </row>
    <row r="1282" spans="1:7" x14ac:dyDescent="0.3">
      <c r="A1282" s="1" t="s">
        <v>1136</v>
      </c>
      <c r="B1282" s="1" t="s">
        <v>1679</v>
      </c>
      <c r="C1282" s="1" t="s">
        <v>1619</v>
      </c>
      <c r="D1282" s="2" t="str">
        <f>HYPERLINK("https://inventaire.cncp.gouv.fr/fiches/3581/","3581")</f>
        <v>3581</v>
      </c>
      <c r="E1282" s="2" t="str">
        <f>HYPERLINK("http://www.intercariforef.org/formations/certification-103959.html","103959")</f>
        <v>103959</v>
      </c>
      <c r="F1282" s="3">
        <v>43391</v>
      </c>
      <c r="G1282" s="3">
        <v>43391</v>
      </c>
    </row>
    <row r="1283" spans="1:7" x14ac:dyDescent="0.3">
      <c r="A1283" s="1" t="s">
        <v>1136</v>
      </c>
      <c r="B1283" s="1" t="s">
        <v>1680</v>
      </c>
      <c r="C1283" s="1" t="s">
        <v>1681</v>
      </c>
      <c r="D1283" s="2" t="str">
        <f>HYPERLINK("https://inventaire.cncp.gouv.fr/fiches/2367/","2367")</f>
        <v>2367</v>
      </c>
      <c r="E1283" s="2" t="str">
        <f>HYPERLINK("http://www.intercariforef.org/formations/certification-92079.html","92079")</f>
        <v>92079</v>
      </c>
      <c r="F1283" s="3">
        <v>42667</v>
      </c>
      <c r="G1283" s="3">
        <v>42718</v>
      </c>
    </row>
    <row r="1284" spans="1:7" x14ac:dyDescent="0.3">
      <c r="A1284" s="1" t="s">
        <v>1136</v>
      </c>
      <c r="B1284" s="1" t="s">
        <v>1682</v>
      </c>
      <c r="C1284" s="1" t="s">
        <v>1129</v>
      </c>
      <c r="D1284" s="2" t="str">
        <f>HYPERLINK("https://inventaire.cncp.gouv.fr/fiches/1528/","1528")</f>
        <v>1528</v>
      </c>
      <c r="E1284" s="2" t="str">
        <f>HYPERLINK("http://www.intercariforef.org/formations/certification-87679.html","87679")</f>
        <v>87679</v>
      </c>
      <c r="F1284" s="3">
        <v>42418</v>
      </c>
      <c r="G1284" s="3">
        <v>42418</v>
      </c>
    </row>
    <row r="1285" spans="1:7" x14ac:dyDescent="0.3">
      <c r="A1285" s="1" t="s">
        <v>1136</v>
      </c>
      <c r="B1285" s="1" t="s">
        <v>1683</v>
      </c>
      <c r="C1285" s="1" t="s">
        <v>486</v>
      </c>
      <c r="D1285" s="2" t="str">
        <f>HYPERLINK("https://inventaire.cncp.gouv.fr/fiches/2083/","2083")</f>
        <v>2083</v>
      </c>
      <c r="E1285" s="2" t="str">
        <f>HYPERLINK("http://www.intercariforef.org/formations/certification-90027.html","90027")</f>
        <v>90027</v>
      </c>
      <c r="F1285" s="3">
        <v>42558</v>
      </c>
      <c r="G1285" s="3">
        <v>42718</v>
      </c>
    </row>
    <row r="1286" spans="1:7" x14ac:dyDescent="0.3">
      <c r="A1286" s="1" t="s">
        <v>1136</v>
      </c>
      <c r="B1286" s="1" t="s">
        <v>1684</v>
      </c>
      <c r="C1286" s="1" t="s">
        <v>1129</v>
      </c>
      <c r="D1286" s="2" t="str">
        <f>HYPERLINK("https://inventaire.cncp.gouv.fr/fiches/4011/","4011")</f>
        <v>4011</v>
      </c>
      <c r="E1286" s="2" t="str">
        <f>HYPERLINK("http://www.intercariforef.org/formations/certification-104095.html","104095")</f>
        <v>104095</v>
      </c>
      <c r="F1286" s="3">
        <v>43398</v>
      </c>
      <c r="G1286" s="3">
        <v>43398</v>
      </c>
    </row>
    <row r="1287" spans="1:7" x14ac:dyDescent="0.3">
      <c r="A1287" s="1" t="s">
        <v>1136</v>
      </c>
      <c r="B1287" s="1" t="s">
        <v>1685</v>
      </c>
      <c r="C1287" s="1" t="s">
        <v>208</v>
      </c>
      <c r="D1287" s="2" t="str">
        <f>HYPERLINK("https://inventaire.cncp.gouv.fr/fiches/2962/","2962")</f>
        <v>2962</v>
      </c>
      <c r="E1287" s="2" t="str">
        <f>HYPERLINK("http://www.intercariforef.org/formations/certification-96517.html","96517")</f>
        <v>96517</v>
      </c>
      <c r="F1287" s="3">
        <v>42928</v>
      </c>
      <c r="G1287" s="3">
        <v>42928</v>
      </c>
    </row>
    <row r="1288" spans="1:7" x14ac:dyDescent="0.3">
      <c r="A1288" s="1" t="s">
        <v>1136</v>
      </c>
      <c r="B1288" s="1" t="s">
        <v>1686</v>
      </c>
      <c r="C1288" s="1" t="s">
        <v>678</v>
      </c>
      <c r="D1288" s="2" t="str">
        <f>HYPERLINK("https://inventaire.cncp.gouv.fr/fiches/2679/","2679")</f>
        <v>2679</v>
      </c>
      <c r="E1288" s="2" t="str">
        <f>HYPERLINK("http://www.intercariforef.org/formations/certification-94841.html","94841")</f>
        <v>94841</v>
      </c>
      <c r="F1288" s="3">
        <v>42836</v>
      </c>
      <c r="G1288" s="3">
        <v>42836</v>
      </c>
    </row>
    <row r="1289" spans="1:7" x14ac:dyDescent="0.3">
      <c r="A1289" s="1" t="s">
        <v>1136</v>
      </c>
      <c r="B1289" s="1" t="s">
        <v>1687</v>
      </c>
      <c r="C1289" s="1" t="s">
        <v>678</v>
      </c>
      <c r="D1289" s="2" t="str">
        <f>HYPERLINK("https://inventaire.cncp.gouv.fr/fiches/2680/","2680")</f>
        <v>2680</v>
      </c>
      <c r="E1289" s="2" t="str">
        <f>HYPERLINK("http://www.intercariforef.org/formations/certification-94833.html","94833")</f>
        <v>94833</v>
      </c>
      <c r="F1289" s="3">
        <v>42836</v>
      </c>
      <c r="G1289" s="3">
        <v>42836</v>
      </c>
    </row>
    <row r="1290" spans="1:7" x14ac:dyDescent="0.3">
      <c r="A1290" s="1" t="s">
        <v>1136</v>
      </c>
      <c r="B1290" s="1" t="s">
        <v>1688</v>
      </c>
      <c r="C1290" s="1" t="s">
        <v>703</v>
      </c>
      <c r="D1290" s="2" t="str">
        <f>HYPERLINK("https://inventaire.cncp.gouv.fr/fiches/3402/","3402")</f>
        <v>3402</v>
      </c>
      <c r="E1290" s="2" t="str">
        <f>HYPERLINK("http://www.intercariforef.org/formations/certification-100007.html","100007")</f>
        <v>100007</v>
      </c>
      <c r="F1290" s="3">
        <v>43151</v>
      </c>
      <c r="G1290" s="3">
        <v>43151</v>
      </c>
    </row>
    <row r="1291" spans="1:7" x14ac:dyDescent="0.3">
      <c r="A1291" s="1" t="s">
        <v>1136</v>
      </c>
      <c r="B1291" s="1" t="s">
        <v>1689</v>
      </c>
      <c r="C1291" s="1" t="s">
        <v>210</v>
      </c>
      <c r="D1291" s="2" t="str">
        <f>HYPERLINK("https://inventaire.cncp.gouv.fr/fiches/2403/","2403")</f>
        <v>2403</v>
      </c>
      <c r="E1291" s="2" t="str">
        <f>HYPERLINK("http://www.intercariforef.org/formations/certification-94157.html","94157")</f>
        <v>94157</v>
      </c>
      <c r="F1291" s="3">
        <v>42772</v>
      </c>
      <c r="G1291" s="3">
        <v>42772</v>
      </c>
    </row>
    <row r="1292" spans="1:7" x14ac:dyDescent="0.3">
      <c r="A1292" s="1" t="s">
        <v>1136</v>
      </c>
      <c r="B1292" s="1" t="s">
        <v>1690</v>
      </c>
      <c r="C1292" s="1" t="s">
        <v>920</v>
      </c>
      <c r="D1292" s="2" t="str">
        <f>HYPERLINK("https://inventaire.cncp.gouv.fr/fiches/3069/","3069")</f>
        <v>3069</v>
      </c>
      <c r="E1292" s="2" t="str">
        <f>HYPERLINK("http://www.intercariforef.org/formations/certification-99261.html","99261")</f>
        <v>99261</v>
      </c>
      <c r="F1292" s="3">
        <v>43080</v>
      </c>
      <c r="G1292" s="3">
        <v>43080</v>
      </c>
    </row>
    <row r="1293" spans="1:7" x14ac:dyDescent="0.3">
      <c r="A1293" s="1" t="s">
        <v>1136</v>
      </c>
      <c r="B1293" s="1" t="s">
        <v>1691</v>
      </c>
      <c r="C1293" s="1" t="s">
        <v>208</v>
      </c>
      <c r="D1293" s="2" t="str">
        <f>HYPERLINK("https://inventaire.cncp.gouv.fr/fiches/2967/","2967")</f>
        <v>2967</v>
      </c>
      <c r="E1293" s="2" t="str">
        <f>HYPERLINK("http://www.intercariforef.org/formations/certification-96511.html","96511")</f>
        <v>96511</v>
      </c>
      <c r="F1293" s="3">
        <v>42928</v>
      </c>
      <c r="G1293" s="3">
        <v>42928</v>
      </c>
    </row>
    <row r="1294" spans="1:7" x14ac:dyDescent="0.3">
      <c r="A1294" s="1" t="s">
        <v>1136</v>
      </c>
      <c r="B1294" s="1" t="s">
        <v>1692</v>
      </c>
      <c r="C1294" s="1" t="s">
        <v>1693</v>
      </c>
      <c r="D1294" s="2" t="str">
        <f>HYPERLINK("https://inventaire.cncp.gouv.fr/fiches/3885/","3885")</f>
        <v>3885</v>
      </c>
      <c r="E1294" s="2" t="str">
        <f>HYPERLINK("http://www.intercariforef.org/formations/certification-104127.html","104127")</f>
        <v>104127</v>
      </c>
      <c r="F1294" s="3">
        <v>43398</v>
      </c>
      <c r="G1294" s="3">
        <v>43398</v>
      </c>
    </row>
    <row r="1295" spans="1:7" x14ac:dyDescent="0.3">
      <c r="A1295" s="1" t="s">
        <v>1136</v>
      </c>
      <c r="B1295" s="1" t="s">
        <v>1694</v>
      </c>
      <c r="C1295" s="1" t="s">
        <v>1695</v>
      </c>
      <c r="D1295" s="2" t="str">
        <f>HYPERLINK("https://inventaire.cncp.gouv.fr/fiches/2556/","2556")</f>
        <v>2556</v>
      </c>
      <c r="E1295" s="2" t="str">
        <f>HYPERLINK("http://www.intercariforef.org/formations/certification-94887.html","94887")</f>
        <v>94887</v>
      </c>
      <c r="F1295" s="3">
        <v>42836</v>
      </c>
      <c r="G1295" s="3">
        <v>42979</v>
      </c>
    </row>
    <row r="1296" spans="1:7" x14ac:dyDescent="0.3">
      <c r="A1296" s="1" t="s">
        <v>1136</v>
      </c>
      <c r="B1296" s="1" t="s">
        <v>1696</v>
      </c>
      <c r="C1296" s="1" t="s">
        <v>1161</v>
      </c>
      <c r="D1296" s="2" t="str">
        <f>HYPERLINK("https://inventaire.cncp.gouv.fr/fiches/1921/","1921")</f>
        <v>1921</v>
      </c>
      <c r="E1296" s="2" t="str">
        <f>HYPERLINK("http://www.intercariforef.org/formations/certification-89203.html","89203")</f>
        <v>89203</v>
      </c>
      <c r="F1296" s="3">
        <v>42521</v>
      </c>
      <c r="G1296" s="3">
        <v>42521</v>
      </c>
    </row>
    <row r="1297" spans="1:7" x14ac:dyDescent="0.3">
      <c r="A1297" s="1" t="s">
        <v>1136</v>
      </c>
      <c r="B1297" s="1" t="s">
        <v>1697</v>
      </c>
      <c r="C1297" s="1" t="s">
        <v>1698</v>
      </c>
      <c r="D1297" s="2" t="str">
        <f>HYPERLINK("https://inventaire.cncp.gouv.fr/fiches/1605/","1605")</f>
        <v>1605</v>
      </c>
      <c r="E1297" s="2" t="str">
        <f>HYPERLINK("http://www.intercariforef.org/formations/certification-89183.html","89183")</f>
        <v>89183</v>
      </c>
      <c r="F1297" s="3">
        <v>42521</v>
      </c>
      <c r="G1297" s="3">
        <v>42521</v>
      </c>
    </row>
    <row r="1298" spans="1:7" x14ac:dyDescent="0.3">
      <c r="A1298" s="1" t="s">
        <v>1136</v>
      </c>
      <c r="B1298" s="1" t="s">
        <v>1699</v>
      </c>
      <c r="C1298" s="1" t="s">
        <v>602</v>
      </c>
      <c r="D1298" s="2" t="str">
        <f>HYPERLINK("https://inventaire.cncp.gouv.fr/fiches/2344/","2344")</f>
        <v>2344</v>
      </c>
      <c r="E1298" s="2" t="str">
        <f>HYPERLINK("http://www.intercariforef.org/formations/certification-94317.html","94317")</f>
        <v>94317</v>
      </c>
      <c r="F1298" s="3">
        <v>42787</v>
      </c>
      <c r="G1298" s="3">
        <v>42979</v>
      </c>
    </row>
    <row r="1299" spans="1:7" x14ac:dyDescent="0.3">
      <c r="A1299" s="1" t="s">
        <v>1136</v>
      </c>
      <c r="B1299" s="1" t="s">
        <v>1700</v>
      </c>
      <c r="C1299" s="1" t="s">
        <v>1701</v>
      </c>
      <c r="D1299" s="2" t="str">
        <f>HYPERLINK("https://inventaire.cncp.gouv.fr/fiches/8/","8")</f>
        <v>8</v>
      </c>
      <c r="E1299" s="2" t="str">
        <f>HYPERLINK("http://www.intercariforef.org/formations/certification-84517.html","84517")</f>
        <v>84517</v>
      </c>
      <c r="F1299" s="3">
        <v>42114</v>
      </c>
      <c r="G1299" s="3">
        <v>43189</v>
      </c>
    </row>
    <row r="1300" spans="1:7" x14ac:dyDescent="0.3">
      <c r="A1300" s="1" t="s">
        <v>1136</v>
      </c>
      <c r="B1300" s="1" t="s">
        <v>1702</v>
      </c>
      <c r="C1300" s="1" t="s">
        <v>1703</v>
      </c>
      <c r="D1300" s="2" t="str">
        <f>HYPERLINK("https://inventaire.cncp.gouv.fr/fiches/2274/","2274")</f>
        <v>2274</v>
      </c>
      <c r="E1300" s="2" t="str">
        <f>HYPERLINK("http://www.intercariforef.org/formations/certification-98673.html","98673")</f>
        <v>98673</v>
      </c>
      <c r="F1300" s="3">
        <v>43039</v>
      </c>
      <c r="G1300" s="3">
        <v>43039</v>
      </c>
    </row>
    <row r="1301" spans="1:7" x14ac:dyDescent="0.3">
      <c r="A1301" s="1" t="s">
        <v>1136</v>
      </c>
      <c r="B1301" s="1" t="s">
        <v>1704</v>
      </c>
      <c r="C1301" s="1" t="s">
        <v>1705</v>
      </c>
      <c r="D1301" s="2" t="str">
        <f>HYPERLINK("https://inventaire.cncp.gouv.fr/fiches/3049/","3049")</f>
        <v>3049</v>
      </c>
      <c r="E1301" s="2" t="str">
        <f>HYPERLINK("http://www.intercariforef.org/formations/certification-100193.html","100193")</f>
        <v>100193</v>
      </c>
      <c r="F1301" s="3">
        <v>43154</v>
      </c>
      <c r="G1301" s="3">
        <v>43154</v>
      </c>
    </row>
    <row r="1302" spans="1:7" x14ac:dyDescent="0.3">
      <c r="A1302" s="1" t="s">
        <v>1136</v>
      </c>
      <c r="B1302" s="1" t="s">
        <v>1706</v>
      </c>
      <c r="C1302" s="1" t="s">
        <v>1705</v>
      </c>
      <c r="D1302" s="2" t="str">
        <f>HYPERLINK("https://inventaire.cncp.gouv.fr/fiches/3003/","3003")</f>
        <v>3003</v>
      </c>
      <c r="E1302" s="2" t="str">
        <f>HYPERLINK("http://www.intercariforef.org/formations/certification-100195.html","100195")</f>
        <v>100195</v>
      </c>
      <c r="F1302" s="3">
        <v>43154</v>
      </c>
      <c r="G1302" s="3">
        <v>43154</v>
      </c>
    </row>
    <row r="1303" spans="1:7" x14ac:dyDescent="0.3">
      <c r="A1303" s="1" t="s">
        <v>1136</v>
      </c>
      <c r="B1303" s="1" t="s">
        <v>1707</v>
      </c>
      <c r="C1303" s="1" t="s">
        <v>208</v>
      </c>
      <c r="D1303" s="2" t="str">
        <f>HYPERLINK("https://inventaire.cncp.gouv.fr/fiches/2965/","2965")</f>
        <v>2965</v>
      </c>
      <c r="E1303" s="2" t="str">
        <f>HYPERLINK("http://www.intercariforef.org/formations/certification-96515.html","96515")</f>
        <v>96515</v>
      </c>
      <c r="F1303" s="3">
        <v>42928</v>
      </c>
      <c r="G1303" s="3">
        <v>42928</v>
      </c>
    </row>
    <row r="1304" spans="1:7" x14ac:dyDescent="0.3">
      <c r="A1304" s="1" t="s">
        <v>1136</v>
      </c>
      <c r="B1304" s="1" t="s">
        <v>1708</v>
      </c>
      <c r="C1304" s="1" t="s">
        <v>1188</v>
      </c>
      <c r="D1304" s="2" t="str">
        <f>HYPERLINK("https://inventaire.cncp.gouv.fr/fiches/566/","566")</f>
        <v>566</v>
      </c>
      <c r="E1304" s="2" t="str">
        <f>HYPERLINK("http://www.intercariforef.org/formations/certification-85783.html","85783")</f>
        <v>85783</v>
      </c>
      <c r="F1304" s="3">
        <v>42279</v>
      </c>
      <c r="G1304" s="3">
        <v>42718</v>
      </c>
    </row>
    <row r="1305" spans="1:7" x14ac:dyDescent="0.3">
      <c r="A1305" s="1" t="s">
        <v>1136</v>
      </c>
      <c r="B1305" s="1" t="s">
        <v>1709</v>
      </c>
      <c r="C1305" s="1" t="s">
        <v>1188</v>
      </c>
      <c r="D1305" s="2" t="str">
        <f>HYPERLINK("https://inventaire.cncp.gouv.fr/fiches/564/","564")</f>
        <v>564</v>
      </c>
      <c r="E1305" s="2" t="str">
        <f>HYPERLINK("http://www.intercariforef.org/formations/certification-85764.html","85764")</f>
        <v>85764</v>
      </c>
      <c r="F1305" s="3">
        <v>42278</v>
      </c>
      <c r="G1305" s="3">
        <v>42718</v>
      </c>
    </row>
    <row r="1306" spans="1:7" x14ac:dyDescent="0.3">
      <c r="A1306" s="1" t="s">
        <v>1136</v>
      </c>
      <c r="B1306" s="1" t="s">
        <v>1710</v>
      </c>
      <c r="C1306" s="1" t="s">
        <v>1188</v>
      </c>
      <c r="D1306" s="2" t="str">
        <f>HYPERLINK("https://inventaire.cncp.gouv.fr/fiches/563/","563")</f>
        <v>563</v>
      </c>
      <c r="E1306" s="2" t="str">
        <f>HYPERLINK("http://www.intercariforef.org/formations/certification-85771.html","85771")</f>
        <v>85771</v>
      </c>
      <c r="F1306" s="3">
        <v>42278</v>
      </c>
      <c r="G1306" s="3">
        <v>42718</v>
      </c>
    </row>
    <row r="1307" spans="1:7" x14ac:dyDescent="0.3">
      <c r="A1307" s="1" t="s">
        <v>1136</v>
      </c>
      <c r="B1307" s="1" t="s">
        <v>1711</v>
      </c>
      <c r="C1307" s="1" t="s">
        <v>1188</v>
      </c>
      <c r="D1307" s="2" t="str">
        <f>HYPERLINK("https://inventaire.cncp.gouv.fr/fiches/565/","565")</f>
        <v>565</v>
      </c>
      <c r="E1307" s="2" t="str">
        <f>HYPERLINK("http://www.intercariforef.org/formations/certification-85769.html","85769")</f>
        <v>85769</v>
      </c>
      <c r="F1307" s="3">
        <v>42278</v>
      </c>
      <c r="G1307" s="3">
        <v>42718</v>
      </c>
    </row>
    <row r="1308" spans="1:7" x14ac:dyDescent="0.3">
      <c r="A1308" s="1" t="s">
        <v>1136</v>
      </c>
      <c r="B1308" s="1" t="s">
        <v>1712</v>
      </c>
      <c r="C1308" s="1" t="s">
        <v>920</v>
      </c>
      <c r="D1308" s="2" t="str">
        <f>HYPERLINK("https://inventaire.cncp.gouv.fr/fiches/2415/","2415")</f>
        <v>2415</v>
      </c>
      <c r="E1308" s="2" t="str">
        <f>HYPERLINK("http://www.intercariforef.org/formations/certification-93829.html","93829")</f>
        <v>93829</v>
      </c>
      <c r="F1308" s="3">
        <v>42740</v>
      </c>
      <c r="G1308" s="3">
        <v>42740</v>
      </c>
    </row>
    <row r="1309" spans="1:7" x14ac:dyDescent="0.3">
      <c r="A1309" s="1" t="s">
        <v>1136</v>
      </c>
      <c r="B1309" s="1" t="s">
        <v>1713</v>
      </c>
      <c r="C1309" s="1" t="s">
        <v>426</v>
      </c>
      <c r="D1309" s="2" t="str">
        <f>HYPERLINK("https://inventaire.cncp.gouv.fr/fiches/1615/","1615")</f>
        <v>1615</v>
      </c>
      <c r="E1309" s="2" t="str">
        <f>HYPERLINK("http://www.intercariforef.org/formations/certification-93825.html","93825")</f>
        <v>93825</v>
      </c>
      <c r="F1309" s="3">
        <v>42740</v>
      </c>
      <c r="G1309" s="3">
        <v>42740</v>
      </c>
    </row>
    <row r="1310" spans="1:7" x14ac:dyDescent="0.3">
      <c r="A1310" s="1" t="s">
        <v>1136</v>
      </c>
      <c r="B1310" s="1" t="s">
        <v>1714</v>
      </c>
      <c r="C1310" s="1" t="s">
        <v>426</v>
      </c>
      <c r="D1310" s="2" t="str">
        <f>HYPERLINK("https://inventaire.cncp.gouv.fr/fiches/1614/","1614")</f>
        <v>1614</v>
      </c>
      <c r="E1310" s="2" t="str">
        <f>HYPERLINK("http://www.intercariforef.org/formations/certification-89245.html","89245")</f>
        <v>89245</v>
      </c>
      <c r="F1310" s="3">
        <v>42522</v>
      </c>
      <c r="G1310" s="3">
        <v>42718</v>
      </c>
    </row>
    <row r="1311" spans="1:7" x14ac:dyDescent="0.3">
      <c r="A1311" s="1" t="s">
        <v>1136</v>
      </c>
      <c r="B1311" s="1" t="s">
        <v>1715</v>
      </c>
      <c r="C1311" s="1" t="s">
        <v>1129</v>
      </c>
      <c r="D1311" s="2" t="str">
        <f>HYPERLINK("https://inventaire.cncp.gouv.fr/fiches/1524/","1524")</f>
        <v>1524</v>
      </c>
      <c r="E1311" s="2" t="str">
        <f>HYPERLINK("http://www.intercariforef.org/formations/certification-87683.html","87683")</f>
        <v>87683</v>
      </c>
      <c r="F1311" s="3">
        <v>42418</v>
      </c>
      <c r="G1311" s="3">
        <v>42418</v>
      </c>
    </row>
    <row r="1312" spans="1:7" x14ac:dyDescent="0.3">
      <c r="A1312" s="1" t="s">
        <v>1136</v>
      </c>
      <c r="B1312" s="1" t="s">
        <v>1716</v>
      </c>
      <c r="C1312" s="1" t="s">
        <v>1129</v>
      </c>
      <c r="D1312" s="2" t="str">
        <f>HYPERLINK("https://inventaire.cncp.gouv.fr/fiches/1367/","1367")</f>
        <v>1367</v>
      </c>
      <c r="E1312" s="2" t="str">
        <f>HYPERLINK("http://www.intercariforef.org/formations/certification-99173.html","99173")</f>
        <v>99173</v>
      </c>
      <c r="F1312" s="3">
        <v>43076</v>
      </c>
      <c r="G1312" s="3">
        <v>43076</v>
      </c>
    </row>
    <row r="1313" spans="1:7" x14ac:dyDescent="0.3">
      <c r="A1313" s="1" t="s">
        <v>1136</v>
      </c>
      <c r="B1313" s="1" t="s">
        <v>1717</v>
      </c>
      <c r="C1313" s="1" t="s">
        <v>1481</v>
      </c>
      <c r="D1313" s="2" t="str">
        <f>HYPERLINK("https://inventaire.cncp.gouv.fr/fiches/2206/","2206")</f>
        <v>2206</v>
      </c>
      <c r="E1313" s="2" t="str">
        <f>HYPERLINK("http://www.intercariforef.org/formations/certification-90007.html","90007")</f>
        <v>90007</v>
      </c>
      <c r="F1313" s="3">
        <v>42557</v>
      </c>
      <c r="G1313" s="3">
        <v>42718</v>
      </c>
    </row>
    <row r="1314" spans="1:7" x14ac:dyDescent="0.3">
      <c r="A1314" s="1" t="s">
        <v>1136</v>
      </c>
      <c r="B1314" s="1" t="s">
        <v>1718</v>
      </c>
      <c r="C1314" s="1" t="s">
        <v>1481</v>
      </c>
      <c r="D1314" s="2" t="str">
        <f>HYPERLINK("https://inventaire.cncp.gouv.fr/fiches/2205/","2205")</f>
        <v>2205</v>
      </c>
      <c r="E1314" s="2" t="str">
        <f>HYPERLINK("http://www.intercariforef.org/formations/certification-90009.html","90009")</f>
        <v>90009</v>
      </c>
      <c r="F1314" s="3">
        <v>42557</v>
      </c>
      <c r="G1314" s="3">
        <v>42718</v>
      </c>
    </row>
    <row r="1315" spans="1:7" x14ac:dyDescent="0.3">
      <c r="A1315" s="1" t="s">
        <v>1136</v>
      </c>
      <c r="B1315" s="1" t="s">
        <v>1719</v>
      </c>
      <c r="C1315" s="1" t="s">
        <v>208</v>
      </c>
      <c r="D1315" s="2" t="str">
        <f>HYPERLINK("https://inventaire.cncp.gouv.fr/fiches/2966/","2966")</f>
        <v>2966</v>
      </c>
      <c r="E1315" s="2" t="str">
        <f>HYPERLINK("http://www.intercariforef.org/formations/certification-96513.html","96513")</f>
        <v>96513</v>
      </c>
      <c r="F1315" s="3">
        <v>42928</v>
      </c>
      <c r="G1315" s="3">
        <v>42928</v>
      </c>
    </row>
    <row r="1316" spans="1:7" x14ac:dyDescent="0.3">
      <c r="A1316" s="1" t="s">
        <v>1136</v>
      </c>
      <c r="B1316" s="1" t="s">
        <v>1720</v>
      </c>
      <c r="C1316" s="1" t="s">
        <v>1129</v>
      </c>
      <c r="D1316" s="2" t="str">
        <f>HYPERLINK("https://inventaire.cncp.gouv.fr/fiches/3725/","3725")</f>
        <v>3725</v>
      </c>
      <c r="E1316" s="2" t="str">
        <f>HYPERLINK("http://www.intercariforef.org/formations/certification-104159.html","104159")</f>
        <v>104159</v>
      </c>
      <c r="F1316" s="3">
        <v>43398</v>
      </c>
      <c r="G1316" s="3">
        <v>43398</v>
      </c>
    </row>
    <row r="1317" spans="1:7" x14ac:dyDescent="0.3">
      <c r="A1317" s="1" t="s">
        <v>1136</v>
      </c>
      <c r="B1317" s="1" t="s">
        <v>1721</v>
      </c>
      <c r="C1317" s="1" t="s">
        <v>966</v>
      </c>
      <c r="D1317" s="2" t="str">
        <f>HYPERLINK("https://inventaire.cncp.gouv.fr/fiches/1475/","1475")</f>
        <v>1475</v>
      </c>
      <c r="E1317" s="2" t="str">
        <f>HYPERLINK("http://www.intercariforef.org/formations/certification-91927.html","91927")</f>
        <v>91927</v>
      </c>
      <c r="F1317" s="3">
        <v>42662</v>
      </c>
      <c r="G1317" s="3">
        <v>42718</v>
      </c>
    </row>
    <row r="1318" spans="1:7" x14ac:dyDescent="0.3">
      <c r="A1318" s="1" t="s">
        <v>1722</v>
      </c>
      <c r="B1318" s="1" t="s">
        <v>1723</v>
      </c>
      <c r="C1318" s="1" t="s">
        <v>1724</v>
      </c>
      <c r="D1318" s="2" t="str">
        <f>HYPERLINK("https://inventaire.cncp.gouv.fr/fiches/2484/","2484")</f>
        <v>2484</v>
      </c>
      <c r="E1318" s="2" t="str">
        <f>HYPERLINK("http://www.intercariforef.org/formations/certification-97093.html","97093")</f>
        <v>97093</v>
      </c>
      <c r="F1318" s="3">
        <v>42978</v>
      </c>
      <c r="G1318" s="3">
        <v>42978</v>
      </c>
    </row>
    <row r="1319" spans="1:7" x14ac:dyDescent="0.3">
      <c r="A1319" s="1" t="s">
        <v>1722</v>
      </c>
      <c r="B1319" s="1" t="s">
        <v>1725</v>
      </c>
      <c r="C1319" s="1" t="s">
        <v>1726</v>
      </c>
      <c r="D1319" s="2" t="str">
        <f>HYPERLINK("https://inventaire.cncp.gouv.fr/fiches/2428/","2428")</f>
        <v>2428</v>
      </c>
      <c r="E1319" s="2" t="str">
        <f>HYPERLINK("http://www.intercariforef.org/formations/certification-93919.html","93919")</f>
        <v>93919</v>
      </c>
      <c r="F1319" s="3">
        <v>42744</v>
      </c>
      <c r="G1319" s="3">
        <v>42744</v>
      </c>
    </row>
    <row r="1320" spans="1:7" x14ac:dyDescent="0.3">
      <c r="A1320" s="1" t="s">
        <v>1722</v>
      </c>
      <c r="B1320" s="1" t="s">
        <v>1727</v>
      </c>
      <c r="C1320" s="1" t="s">
        <v>1728</v>
      </c>
      <c r="D1320" s="2" t="str">
        <f>HYPERLINK("https://inventaire.cncp.gouv.fr/fiches/2090/","2090")</f>
        <v>2090</v>
      </c>
      <c r="E1320" s="2" t="str">
        <f>HYPERLINK("http://www.intercariforef.org/formations/certification-94031.html","94031")</f>
        <v>94031</v>
      </c>
      <c r="F1320" s="3">
        <v>42748</v>
      </c>
      <c r="G1320" s="3">
        <v>42748</v>
      </c>
    </row>
    <row r="1321" spans="1:7" ht="26.2" x14ac:dyDescent="0.3">
      <c r="A1321" s="1" t="s">
        <v>1722</v>
      </c>
      <c r="B1321" s="1" t="s">
        <v>1729</v>
      </c>
      <c r="C1321" s="1" t="s">
        <v>1730</v>
      </c>
      <c r="D1321" s="2" t="str">
        <f>HYPERLINK("https://inventaire.cncp.gouv.fr/fiches/2218/","2218")</f>
        <v>2218</v>
      </c>
      <c r="E1321" s="2" t="str">
        <f>HYPERLINK("http://www.intercariforef.org/formations/certification-89997.html","89997")</f>
        <v>89997</v>
      </c>
      <c r="F1321" s="3">
        <v>42557</v>
      </c>
      <c r="G1321" s="3">
        <v>42557</v>
      </c>
    </row>
    <row r="1322" spans="1:7" ht="26.2" x14ac:dyDescent="0.3">
      <c r="A1322" s="1" t="s">
        <v>1722</v>
      </c>
      <c r="B1322" s="1" t="s">
        <v>1731</v>
      </c>
      <c r="C1322" s="1" t="s">
        <v>1730</v>
      </c>
      <c r="D1322" s="2" t="str">
        <f>HYPERLINK("https://inventaire.cncp.gouv.fr/fiches/2219/","2219")</f>
        <v>2219</v>
      </c>
      <c r="E1322" s="2" t="str">
        <f>HYPERLINK("http://www.intercariforef.org/formations/certification-89993.html","89993")</f>
        <v>89993</v>
      </c>
      <c r="F1322" s="3">
        <v>42557</v>
      </c>
      <c r="G1322" s="3">
        <v>42557</v>
      </c>
    </row>
    <row r="1323" spans="1:7" ht="26.2" x14ac:dyDescent="0.3">
      <c r="A1323" s="1" t="s">
        <v>1722</v>
      </c>
      <c r="B1323" s="1" t="s">
        <v>1732</v>
      </c>
      <c r="C1323" s="1" t="s">
        <v>1730</v>
      </c>
      <c r="D1323" s="2" t="str">
        <f>HYPERLINK("https://inventaire.cncp.gouv.fr/fiches/2220/","2220")</f>
        <v>2220</v>
      </c>
      <c r="E1323" s="2" t="str">
        <f>HYPERLINK("http://www.intercariforef.org/formations/certification-89989.html","89989")</f>
        <v>89989</v>
      </c>
      <c r="F1323" s="3">
        <v>42557</v>
      </c>
      <c r="G1323" s="3">
        <v>42557</v>
      </c>
    </row>
    <row r="1324" spans="1:7" x14ac:dyDescent="0.3">
      <c r="A1324" s="1" t="s">
        <v>1722</v>
      </c>
      <c r="B1324" s="1" t="s">
        <v>1733</v>
      </c>
      <c r="C1324" s="1" t="s">
        <v>1734</v>
      </c>
      <c r="D1324" s="2" t="str">
        <f>HYPERLINK("https://inventaire.cncp.gouv.fr/fiches/3215/","3215")</f>
        <v>3215</v>
      </c>
      <c r="E1324" s="2" t="str">
        <f>HYPERLINK("http://www.intercariforef.org/formations/certification-99191.html","99191")</f>
        <v>99191</v>
      </c>
      <c r="F1324" s="3">
        <v>43076</v>
      </c>
      <c r="G1324" s="3">
        <v>43076</v>
      </c>
    </row>
    <row r="1325" spans="1:7" x14ac:dyDescent="0.3">
      <c r="A1325" s="1" t="s">
        <v>1722</v>
      </c>
      <c r="B1325" s="1" t="s">
        <v>1735</v>
      </c>
      <c r="C1325" s="1" t="s">
        <v>758</v>
      </c>
      <c r="D1325" s="2" t="str">
        <f>HYPERLINK("https://inventaire.cncp.gouv.fr/fiches/3554/","3554")</f>
        <v>3554</v>
      </c>
      <c r="E1325" s="2" t="str">
        <f>HYPERLINK("http://www.intercariforef.org/formations/certification-101367.html","101367")</f>
        <v>101367</v>
      </c>
      <c r="F1325" s="3">
        <v>43259</v>
      </c>
      <c r="G1325" s="3">
        <v>43259</v>
      </c>
    </row>
    <row r="1326" spans="1:7" ht="26.2" x14ac:dyDescent="0.3">
      <c r="A1326" s="1" t="s">
        <v>1722</v>
      </c>
      <c r="B1326" s="1" t="s">
        <v>1736</v>
      </c>
      <c r="C1326" s="1" t="s">
        <v>1737</v>
      </c>
      <c r="D1326" s="2" t="str">
        <f>HYPERLINK("https://inventaire.cncp.gouv.fr/fiches/2223/","2223")</f>
        <v>2223</v>
      </c>
      <c r="E1326" s="2" t="str">
        <f>HYPERLINK("http://www.intercariforef.org/formations/certification-89983.html","89983")</f>
        <v>89983</v>
      </c>
      <c r="F1326" s="3">
        <v>42557</v>
      </c>
      <c r="G1326" s="3">
        <v>42979</v>
      </c>
    </row>
    <row r="1327" spans="1:7" x14ac:dyDescent="0.3">
      <c r="A1327" s="1" t="s">
        <v>1722</v>
      </c>
      <c r="B1327" s="1" t="s">
        <v>1738</v>
      </c>
      <c r="C1327" s="1" t="s">
        <v>1739</v>
      </c>
      <c r="D1327" s="2" t="str">
        <f>HYPERLINK("https://inventaire.cncp.gouv.fr/fiches/3090/","3090")</f>
        <v>3090</v>
      </c>
      <c r="E1327" s="2" t="str">
        <f>HYPERLINK("http://www.intercariforef.org/formations/certification-99229.html","99229")</f>
        <v>99229</v>
      </c>
      <c r="F1327" s="3">
        <v>43077</v>
      </c>
      <c r="G1327" s="3">
        <v>43077</v>
      </c>
    </row>
    <row r="1328" spans="1:7" ht="26.2" x14ac:dyDescent="0.3">
      <c r="A1328" s="1" t="s">
        <v>1722</v>
      </c>
      <c r="B1328" s="1" t="s">
        <v>1740</v>
      </c>
      <c r="C1328" s="1" t="s">
        <v>1741</v>
      </c>
      <c r="D1328" s="2" t="str">
        <f>HYPERLINK("https://inventaire.cncp.gouv.fr/fiches/2648/","2648")</f>
        <v>2648</v>
      </c>
      <c r="E1328" s="2" t="str">
        <f>HYPERLINK("http://www.intercariforef.org/formations/certification-94853.html","94853")</f>
        <v>94853</v>
      </c>
      <c r="F1328" s="3">
        <v>42836</v>
      </c>
      <c r="G1328" s="3">
        <v>42836</v>
      </c>
    </row>
    <row r="1329" spans="1:7" x14ac:dyDescent="0.3">
      <c r="A1329" s="1" t="s">
        <v>1722</v>
      </c>
      <c r="B1329" s="1" t="s">
        <v>1742</v>
      </c>
      <c r="C1329" s="1" t="s">
        <v>377</v>
      </c>
      <c r="D1329" s="2" t="str">
        <f>HYPERLINK("https://inventaire.cncp.gouv.fr/fiches/105/","105")</f>
        <v>105</v>
      </c>
      <c r="E1329" s="2" t="str">
        <f>HYPERLINK("http://www.intercariforef.org/formations/certification-85539.html","85539")</f>
        <v>85539</v>
      </c>
      <c r="F1329" s="3">
        <v>42269</v>
      </c>
      <c r="G1329" s="3">
        <v>43293</v>
      </c>
    </row>
    <row r="1330" spans="1:7" x14ac:dyDescent="0.3">
      <c r="A1330" s="1" t="s">
        <v>1722</v>
      </c>
      <c r="B1330" s="1" t="s">
        <v>1743</v>
      </c>
      <c r="C1330" s="1" t="s">
        <v>377</v>
      </c>
      <c r="D1330" s="2" t="str">
        <f>HYPERLINK("https://inventaire.cncp.gouv.fr/fiches/91/","91")</f>
        <v>91</v>
      </c>
      <c r="E1330" s="2" t="str">
        <f>HYPERLINK("http://www.intercariforef.org/formations/certification-85540.html","85540")</f>
        <v>85540</v>
      </c>
      <c r="F1330" s="3">
        <v>42269</v>
      </c>
      <c r="G1330" s="3">
        <v>43293</v>
      </c>
    </row>
    <row r="1331" spans="1:7" x14ac:dyDescent="0.3">
      <c r="A1331" s="1" t="s">
        <v>1722</v>
      </c>
      <c r="B1331" s="1" t="s">
        <v>1744</v>
      </c>
      <c r="C1331" s="1" t="s">
        <v>1745</v>
      </c>
      <c r="D1331" s="2" t="str">
        <f>HYPERLINK("https://inventaire.cncp.gouv.fr/fiches/2025/","2025")</f>
        <v>2025</v>
      </c>
      <c r="E1331" s="2" t="str">
        <f>HYPERLINK("http://www.intercariforef.org/formations/certification-90087.html","90087")</f>
        <v>90087</v>
      </c>
      <c r="F1331" s="3">
        <v>42562</v>
      </c>
      <c r="G1331" s="3">
        <v>42562</v>
      </c>
    </row>
    <row r="1332" spans="1:7" x14ac:dyDescent="0.3">
      <c r="A1332" s="1" t="s">
        <v>1722</v>
      </c>
      <c r="B1332" s="1" t="s">
        <v>1746</v>
      </c>
      <c r="C1332" s="1" t="s">
        <v>17</v>
      </c>
      <c r="D1332" s="2" t="str">
        <f>HYPERLINK("https://inventaire.cncp.gouv.fr/fiches/720/","720")</f>
        <v>720</v>
      </c>
      <c r="E1332" s="2" t="str">
        <f>HYPERLINK("http://www.intercariforef.org/formations/certification-84726.html","84726")</f>
        <v>84726</v>
      </c>
      <c r="F1332" s="3">
        <v>42156</v>
      </c>
      <c r="G1332" s="3">
        <v>42522</v>
      </c>
    </row>
    <row r="1333" spans="1:7" x14ac:dyDescent="0.3">
      <c r="A1333" s="1" t="s">
        <v>1722</v>
      </c>
      <c r="B1333" s="1" t="s">
        <v>1747</v>
      </c>
      <c r="C1333" s="1" t="s">
        <v>1748</v>
      </c>
      <c r="D1333" s="2" t="str">
        <f>HYPERLINK("https://inventaire.cncp.gouv.fr/fiches/2562/","2562")</f>
        <v>2562</v>
      </c>
      <c r="E1333" s="2" t="str">
        <f>HYPERLINK("http://www.intercariforef.org/formations/certification-95239.html","95239")</f>
        <v>95239</v>
      </c>
      <c r="F1333" s="3">
        <v>42851</v>
      </c>
      <c r="G1333" s="3">
        <v>42851</v>
      </c>
    </row>
    <row r="1334" spans="1:7" x14ac:dyDescent="0.3">
      <c r="A1334" s="1" t="s">
        <v>1722</v>
      </c>
      <c r="B1334" s="1" t="s">
        <v>1749</v>
      </c>
      <c r="C1334" s="1" t="s">
        <v>1728</v>
      </c>
      <c r="D1334" s="2" t="str">
        <f>HYPERLINK("https://inventaire.cncp.gouv.fr/fiches/3592/","3592")</f>
        <v>3592</v>
      </c>
      <c r="E1334" s="2" t="str">
        <f>HYPERLINK("http://www.intercariforef.org/formations/certification-104009.html","104009")</f>
        <v>104009</v>
      </c>
      <c r="F1334" s="3">
        <v>43392</v>
      </c>
      <c r="G1334" s="3">
        <v>43392</v>
      </c>
    </row>
    <row r="1335" spans="1:7" x14ac:dyDescent="0.3">
      <c r="A1335" s="1" t="s">
        <v>1722</v>
      </c>
      <c r="B1335" s="1" t="s">
        <v>1750</v>
      </c>
      <c r="C1335" s="1" t="s">
        <v>232</v>
      </c>
      <c r="D1335" s="2" t="str">
        <f>HYPERLINK("https://inventaire.cncp.gouv.fr/fiches/3038/","3038")</f>
        <v>3038</v>
      </c>
      <c r="E1335" s="2" t="str">
        <f>HYPERLINK("http://www.intercariforef.org/formations/certification-98525.html","98525")</f>
        <v>98525</v>
      </c>
      <c r="F1335" s="3">
        <v>43033</v>
      </c>
      <c r="G1335" s="3">
        <v>43033</v>
      </c>
    </row>
    <row r="1336" spans="1:7" x14ac:dyDescent="0.3">
      <c r="A1336" s="1" t="s">
        <v>1722</v>
      </c>
      <c r="B1336" s="1" t="s">
        <v>1751</v>
      </c>
      <c r="C1336" s="1" t="s">
        <v>241</v>
      </c>
      <c r="D1336" s="2" t="str">
        <f>HYPERLINK("https://inventaire.cncp.gouv.fr/fiches/2369/","2369")</f>
        <v>2369</v>
      </c>
      <c r="E1336" s="2" t="str">
        <f>HYPERLINK("http://www.intercariforef.org/formations/certification-91887.html","91887")</f>
        <v>91887</v>
      </c>
      <c r="F1336" s="3">
        <v>42662</v>
      </c>
      <c r="G1336" s="3">
        <v>42662</v>
      </c>
    </row>
    <row r="1337" spans="1:7" x14ac:dyDescent="0.3">
      <c r="A1337" s="1" t="s">
        <v>1722</v>
      </c>
      <c r="B1337" s="1" t="s">
        <v>1752</v>
      </c>
      <c r="C1337" s="1" t="s">
        <v>462</v>
      </c>
      <c r="D1337" s="2" t="str">
        <f>HYPERLINK("https://inventaire.cncp.gouv.fr/fiches/3903/","3903")</f>
        <v>3903</v>
      </c>
      <c r="E1337" s="2" t="str">
        <f>HYPERLINK("http://www.intercariforef.org/formations/certification-104121.html","104121")</f>
        <v>104121</v>
      </c>
      <c r="F1337" s="3">
        <v>43398</v>
      </c>
      <c r="G1337" s="3">
        <v>43398</v>
      </c>
    </row>
    <row r="1338" spans="1:7" ht="26.2" x14ac:dyDescent="0.3">
      <c r="A1338" s="1" t="s">
        <v>1722</v>
      </c>
      <c r="B1338" s="1" t="s">
        <v>1753</v>
      </c>
      <c r="C1338" s="1" t="s">
        <v>1754</v>
      </c>
      <c r="D1338" s="2" t="str">
        <f>HYPERLINK("https://inventaire.cncp.gouv.fr/fiches/3159/","3159")</f>
        <v>3159</v>
      </c>
      <c r="E1338" s="2" t="str">
        <f>HYPERLINK("http://www.intercariforef.org/formations/certification-99171.html","99171")</f>
        <v>99171</v>
      </c>
      <c r="F1338" s="3">
        <v>43076</v>
      </c>
      <c r="G1338" s="3">
        <v>43336</v>
      </c>
    </row>
    <row r="1339" spans="1:7" x14ac:dyDescent="0.3">
      <c r="A1339" s="1" t="s">
        <v>1722</v>
      </c>
      <c r="B1339" s="1" t="s">
        <v>1755</v>
      </c>
      <c r="C1339" s="1" t="s">
        <v>1756</v>
      </c>
      <c r="D1339" s="2" t="str">
        <f>HYPERLINK("https://inventaire.cncp.gouv.fr/fiches/1369/","1369")</f>
        <v>1369</v>
      </c>
      <c r="E1339" s="2" t="str">
        <f>HYPERLINK("http://www.intercariforef.org/formations/certification-86209.html","86209")</f>
        <v>86209</v>
      </c>
      <c r="F1339" s="3">
        <v>42320</v>
      </c>
      <c r="G1339" s="3">
        <v>42320</v>
      </c>
    </row>
    <row r="1340" spans="1:7" x14ac:dyDescent="0.3">
      <c r="A1340" s="1" t="s">
        <v>1722</v>
      </c>
      <c r="B1340" s="1" t="s">
        <v>1757</v>
      </c>
      <c r="C1340" s="1" t="s">
        <v>1758</v>
      </c>
      <c r="D1340" s="2" t="str">
        <f>HYPERLINK("https://inventaire.cncp.gouv.fr/fiches/1604/","1604")</f>
        <v>1604</v>
      </c>
      <c r="E1340" s="2" t="str">
        <f>HYPERLINK("http://www.intercariforef.org/formations/certification-88587.html","88587")</f>
        <v>88587</v>
      </c>
      <c r="F1340" s="3">
        <v>42481</v>
      </c>
      <c r="G1340" s="3">
        <v>42979</v>
      </c>
    </row>
    <row r="1341" spans="1:7" x14ac:dyDescent="0.3">
      <c r="A1341" s="1" t="s">
        <v>1722</v>
      </c>
      <c r="B1341" s="1" t="s">
        <v>1759</v>
      </c>
      <c r="C1341" s="1" t="s">
        <v>1760</v>
      </c>
      <c r="D1341" s="2" t="str">
        <f>HYPERLINK("https://inventaire.cncp.gouv.fr/fiches/3558/","3558")</f>
        <v>3558</v>
      </c>
      <c r="E1341" s="2" t="str">
        <f>HYPERLINK("http://www.intercariforef.org/formations/certification-101167.html","101167")</f>
        <v>101167</v>
      </c>
      <c r="F1341" s="3">
        <v>43250</v>
      </c>
      <c r="G1341" s="3">
        <v>43250</v>
      </c>
    </row>
    <row r="1342" spans="1:7" x14ac:dyDescent="0.3">
      <c r="A1342" s="1" t="s">
        <v>1722</v>
      </c>
      <c r="B1342" s="1" t="s">
        <v>1761</v>
      </c>
      <c r="C1342" s="1" t="s">
        <v>413</v>
      </c>
      <c r="D1342" s="2" t="str">
        <f>HYPERLINK("https://inventaire.cncp.gouv.fr/fiches/316/","316")</f>
        <v>316</v>
      </c>
      <c r="E1342" s="2" t="str">
        <f>HYPERLINK("http://www.intercariforef.org/formations/certification-84719.html","84719")</f>
        <v>84719</v>
      </c>
      <c r="F1342" s="3">
        <v>42156</v>
      </c>
      <c r="G1342" s="3">
        <v>42156</v>
      </c>
    </row>
    <row r="1343" spans="1:7" ht="26.2" x14ac:dyDescent="0.3">
      <c r="A1343" s="1" t="s">
        <v>1722</v>
      </c>
      <c r="B1343" s="1" t="s">
        <v>1762</v>
      </c>
      <c r="C1343" s="1" t="s">
        <v>1737</v>
      </c>
      <c r="D1343" s="2" t="str">
        <f>HYPERLINK("https://inventaire.cncp.gouv.fr/fiches/2225/","2225")</f>
        <v>2225</v>
      </c>
      <c r="E1343" s="2" t="str">
        <f>HYPERLINK("http://www.intercariforef.org/formations/certification-89977.html","89977")</f>
        <v>89977</v>
      </c>
      <c r="F1343" s="3">
        <v>42557</v>
      </c>
      <c r="G1343" s="3">
        <v>42979</v>
      </c>
    </row>
    <row r="1344" spans="1:7" x14ac:dyDescent="0.3">
      <c r="A1344" s="1" t="s">
        <v>1722</v>
      </c>
      <c r="B1344" s="1" t="s">
        <v>1763</v>
      </c>
      <c r="C1344" s="1" t="s">
        <v>1764</v>
      </c>
      <c r="D1344" s="2" t="str">
        <f>HYPERLINK("https://inventaire.cncp.gouv.fr/fiches/1042/","1042")</f>
        <v>1042</v>
      </c>
      <c r="E1344" s="2" t="str">
        <f>HYPERLINK("http://www.intercariforef.org/formations/certification-85548.html","85548")</f>
        <v>85548</v>
      </c>
      <c r="F1344" s="3">
        <v>42269</v>
      </c>
      <c r="G1344" s="3">
        <v>43125</v>
      </c>
    </row>
    <row r="1345" spans="1:7" x14ac:dyDescent="0.3">
      <c r="A1345" s="1" t="s">
        <v>1722</v>
      </c>
      <c r="B1345" s="1" t="s">
        <v>1765</v>
      </c>
      <c r="C1345" s="1" t="s">
        <v>1764</v>
      </c>
      <c r="D1345" s="2" t="str">
        <f>HYPERLINK("https://inventaire.cncp.gouv.fr/fiches/1259/","1259")</f>
        <v>1259</v>
      </c>
      <c r="E1345" s="2" t="str">
        <f>HYPERLINK("http://www.intercariforef.org/formations/certification-85537.html","85537")</f>
        <v>85537</v>
      </c>
      <c r="F1345" s="3">
        <v>42269</v>
      </c>
      <c r="G1345" s="3">
        <v>43125</v>
      </c>
    </row>
    <row r="1346" spans="1:7" x14ac:dyDescent="0.3">
      <c r="A1346" s="1" t="s">
        <v>1722</v>
      </c>
      <c r="B1346" s="1" t="s">
        <v>1766</v>
      </c>
      <c r="C1346" s="1" t="s">
        <v>350</v>
      </c>
      <c r="D1346" s="2" t="str">
        <f>HYPERLINK("https://inventaire.cncp.gouv.fr/fiches/3484/","3484")</f>
        <v>3484</v>
      </c>
      <c r="E1346" s="2" t="str">
        <f>HYPERLINK("http://www.intercariforef.org/formations/certification-104011.html","104011")</f>
        <v>104011</v>
      </c>
      <c r="F1346" s="3">
        <v>43392</v>
      </c>
      <c r="G1346" s="3">
        <v>43392</v>
      </c>
    </row>
    <row r="1347" spans="1:7" x14ac:dyDescent="0.3">
      <c r="A1347" s="1" t="s">
        <v>1722</v>
      </c>
      <c r="B1347" s="1" t="s">
        <v>1767</v>
      </c>
      <c r="C1347" s="1" t="s">
        <v>1768</v>
      </c>
      <c r="D1347" s="2" t="str">
        <f>HYPERLINK("https://inventaire.cncp.gouv.fr/fiches/3371/","3371")</f>
        <v>3371</v>
      </c>
      <c r="E1347" s="2" t="str">
        <f>HYPERLINK("http://www.intercariforef.org/formations/certification-100041.html","100041")</f>
        <v>100041</v>
      </c>
      <c r="F1347" s="3">
        <v>43152</v>
      </c>
      <c r="G1347" s="3">
        <v>43152</v>
      </c>
    </row>
    <row r="1348" spans="1:7" x14ac:dyDescent="0.3">
      <c r="A1348" s="1" t="s">
        <v>1722</v>
      </c>
      <c r="B1348" s="1" t="s">
        <v>1769</v>
      </c>
      <c r="C1348" s="1" t="s">
        <v>1764</v>
      </c>
      <c r="D1348" s="2" t="str">
        <f>HYPERLINK("https://inventaire.cncp.gouv.fr/fiches/1261/","1261")</f>
        <v>1261</v>
      </c>
      <c r="E1348" s="2" t="str">
        <f>HYPERLINK("http://www.intercariforef.org/formations/certification-85546.html","85546")</f>
        <v>85546</v>
      </c>
      <c r="F1348" s="3">
        <v>42269</v>
      </c>
      <c r="G1348" s="3">
        <v>43125</v>
      </c>
    </row>
    <row r="1349" spans="1:7" x14ac:dyDescent="0.3">
      <c r="A1349" s="1" t="s">
        <v>1722</v>
      </c>
      <c r="B1349" s="1" t="s">
        <v>1770</v>
      </c>
      <c r="C1349" s="1" t="s">
        <v>436</v>
      </c>
      <c r="D1349" s="2" t="str">
        <f>HYPERLINK("https://inventaire.cncp.gouv.fr/fiches/3176/","3176")</f>
        <v>3176</v>
      </c>
      <c r="E1349" s="2" t="str">
        <f>HYPERLINK("http://www.intercariforef.org/formations/certification-99169.html","99169")</f>
        <v>99169</v>
      </c>
      <c r="F1349" s="3">
        <v>43076</v>
      </c>
      <c r="G1349" s="3">
        <v>43076</v>
      </c>
    </row>
    <row r="1350" spans="1:7" x14ac:dyDescent="0.3">
      <c r="A1350" s="1" t="s">
        <v>1722</v>
      </c>
      <c r="B1350" s="1" t="s">
        <v>1771</v>
      </c>
      <c r="C1350" s="1" t="s">
        <v>1756</v>
      </c>
      <c r="D1350" s="2" t="str">
        <f>HYPERLINK("https://inventaire.cncp.gouv.fr/fiches/1368/","1368")</f>
        <v>1368</v>
      </c>
      <c r="E1350" s="2" t="str">
        <f>HYPERLINK("http://www.intercariforef.org/formations/certification-86216.html","86216")</f>
        <v>86216</v>
      </c>
      <c r="F1350" s="3">
        <v>42320</v>
      </c>
      <c r="G1350" s="3">
        <v>42320</v>
      </c>
    </row>
    <row r="1351" spans="1:7" x14ac:dyDescent="0.3">
      <c r="A1351" s="1" t="s">
        <v>1722</v>
      </c>
      <c r="B1351" s="1" t="s">
        <v>1772</v>
      </c>
      <c r="C1351" s="1" t="s">
        <v>1773</v>
      </c>
      <c r="D1351" s="2" t="str">
        <f>HYPERLINK("https://inventaire.cncp.gouv.fr/fiches/3262/","3262")</f>
        <v>3262</v>
      </c>
      <c r="E1351" s="2" t="str">
        <f>HYPERLINK("http://www.intercariforef.org/formations/certification-99057.html","99057")</f>
        <v>99057</v>
      </c>
      <c r="F1351" s="3">
        <v>43069</v>
      </c>
      <c r="G1351" s="3">
        <v>43069</v>
      </c>
    </row>
    <row r="1352" spans="1:7" x14ac:dyDescent="0.3">
      <c r="A1352" s="1" t="s">
        <v>1722</v>
      </c>
      <c r="B1352" s="1" t="s">
        <v>1774</v>
      </c>
      <c r="C1352" s="1" t="s">
        <v>1775</v>
      </c>
      <c r="D1352" s="2" t="str">
        <f>HYPERLINK("https://inventaire.cncp.gouv.fr/fiches/2861/","2861")</f>
        <v>2861</v>
      </c>
      <c r="E1352" s="2" t="str">
        <f>HYPERLINK("http://www.intercariforef.org/formations/certification-97065.html","97065")</f>
        <v>97065</v>
      </c>
      <c r="F1352" s="3">
        <v>42977</v>
      </c>
      <c r="G1352" s="3">
        <v>42977</v>
      </c>
    </row>
    <row r="1353" spans="1:7" ht="26.2" x14ac:dyDescent="0.3">
      <c r="A1353" s="1" t="s">
        <v>1722</v>
      </c>
      <c r="B1353" s="1" t="s">
        <v>1776</v>
      </c>
      <c r="C1353" s="1" t="s">
        <v>1764</v>
      </c>
      <c r="D1353" s="2" t="str">
        <f>HYPERLINK("https://inventaire.cncp.gouv.fr/fiches/1277/","1277")</f>
        <v>1277</v>
      </c>
      <c r="E1353" s="2" t="str">
        <f>HYPERLINK("http://www.intercariforef.org/formations/certification-85541.html","85541")</f>
        <v>85541</v>
      </c>
      <c r="F1353" s="3">
        <v>42269</v>
      </c>
      <c r="G1353" s="3">
        <v>43125</v>
      </c>
    </row>
    <row r="1354" spans="1:7" x14ac:dyDescent="0.3">
      <c r="A1354" s="1" t="s">
        <v>1722</v>
      </c>
      <c r="B1354" s="1" t="s">
        <v>1777</v>
      </c>
      <c r="C1354" s="1" t="s">
        <v>347</v>
      </c>
      <c r="D1354" s="2" t="str">
        <f>HYPERLINK("https://inventaire.cncp.gouv.fr/fiches/1900/","1900")</f>
        <v>1900</v>
      </c>
      <c r="E1354" s="2" t="str">
        <f>HYPERLINK("http://www.intercariforef.org/formations/certification-98379.html","98379")</f>
        <v>98379</v>
      </c>
      <c r="F1354" s="3">
        <v>43027</v>
      </c>
      <c r="G1354" s="3">
        <v>43027</v>
      </c>
    </row>
    <row r="1355" spans="1:7" x14ac:dyDescent="0.3">
      <c r="A1355" s="1" t="s">
        <v>1722</v>
      </c>
      <c r="B1355" s="1" t="s">
        <v>1778</v>
      </c>
      <c r="C1355" s="1" t="s">
        <v>413</v>
      </c>
      <c r="D1355" s="2" t="str">
        <f>HYPERLINK("https://inventaire.cncp.gouv.fr/fiches/3220/","3220")</f>
        <v>3220</v>
      </c>
      <c r="E1355" s="2" t="str">
        <f>HYPERLINK("http://www.intercariforef.org/formations/certification-100121.html","100121")</f>
        <v>100121</v>
      </c>
      <c r="F1355" s="3">
        <v>43153</v>
      </c>
      <c r="G1355" s="3">
        <v>43153</v>
      </c>
    </row>
    <row r="1356" spans="1:7" x14ac:dyDescent="0.3">
      <c r="A1356" s="1" t="s">
        <v>1722</v>
      </c>
      <c r="B1356" s="1" t="s">
        <v>1779</v>
      </c>
      <c r="C1356" s="1" t="s">
        <v>1780</v>
      </c>
      <c r="D1356" s="2" t="str">
        <f>HYPERLINK("https://inventaire.cncp.gouv.fr/fiches/2761/","2761")</f>
        <v>2761</v>
      </c>
      <c r="E1356" s="2" t="str">
        <f>HYPERLINK("http://www.intercariforef.org/formations/certification-95431.html","95431")</f>
        <v>95431</v>
      </c>
      <c r="F1356" s="3">
        <v>42884</v>
      </c>
      <c r="G1356" s="3">
        <v>42884</v>
      </c>
    </row>
    <row r="1357" spans="1:7" x14ac:dyDescent="0.3">
      <c r="A1357" s="1" t="s">
        <v>1722</v>
      </c>
      <c r="B1357" s="1" t="s">
        <v>1781</v>
      </c>
      <c r="C1357" s="1" t="s">
        <v>241</v>
      </c>
      <c r="D1357" s="2" t="str">
        <f>HYPERLINK("https://inventaire.cncp.gouv.fr/fiches/3170/","3170")</f>
        <v>3170</v>
      </c>
      <c r="E1357" s="2" t="str">
        <f>HYPERLINK("http://www.intercariforef.org/formations/certification-99157.html","99157")</f>
        <v>99157</v>
      </c>
      <c r="F1357" s="3">
        <v>43076</v>
      </c>
      <c r="G1357" s="3">
        <v>43076</v>
      </c>
    </row>
    <row r="1358" spans="1:7" x14ac:dyDescent="0.3">
      <c r="A1358" s="1" t="s">
        <v>1722</v>
      </c>
      <c r="B1358" s="1" t="s">
        <v>1782</v>
      </c>
      <c r="C1358" s="1" t="s">
        <v>397</v>
      </c>
      <c r="D1358" s="2" t="str">
        <f>HYPERLINK("https://inventaire.cncp.gouv.fr/fiches/3222/","3222")</f>
        <v>3222</v>
      </c>
      <c r="E1358" s="2" t="str">
        <f>HYPERLINK("http://www.intercariforef.org/formations/certification-100119.html","100119")</f>
        <v>100119</v>
      </c>
      <c r="F1358" s="3">
        <v>43153</v>
      </c>
      <c r="G1358" s="3">
        <v>43153</v>
      </c>
    </row>
    <row r="1359" spans="1:7" ht="26.2" x14ac:dyDescent="0.3">
      <c r="A1359" s="1" t="s">
        <v>1722</v>
      </c>
      <c r="B1359" s="1" t="s">
        <v>1783</v>
      </c>
      <c r="C1359" s="1" t="s">
        <v>1019</v>
      </c>
      <c r="D1359" s="2" t="str">
        <f>HYPERLINK("https://inventaire.cncp.gouv.fr/fiches/2094/","2094")</f>
        <v>2094</v>
      </c>
      <c r="E1359" s="2" t="str">
        <f>HYPERLINK("http://www.intercariforef.org/formations/certification-89177.html","89177")</f>
        <v>89177</v>
      </c>
      <c r="F1359" s="3">
        <v>42521</v>
      </c>
      <c r="G1359" s="3">
        <v>42521</v>
      </c>
    </row>
    <row r="1360" spans="1:7" x14ac:dyDescent="0.3">
      <c r="A1360" s="1" t="s">
        <v>1784</v>
      </c>
      <c r="B1360" s="1" t="s">
        <v>1785</v>
      </c>
      <c r="C1360" s="1" t="s">
        <v>1786</v>
      </c>
      <c r="D1360" s="2" t="str">
        <f>HYPERLINK("https://inventaire.cncp.gouv.fr/fiches/3642/","3642")</f>
        <v>3642</v>
      </c>
      <c r="E1360" s="2" t="str">
        <f>HYPERLINK("http://www.intercariforef.org/formations/certification-101145.html","101145")</f>
        <v>101145</v>
      </c>
      <c r="F1360" s="3">
        <v>43250</v>
      </c>
      <c r="G1360" s="3">
        <v>43250</v>
      </c>
    </row>
    <row r="1361" spans="1:7" x14ac:dyDescent="0.3">
      <c r="A1361" s="1" t="s">
        <v>1784</v>
      </c>
      <c r="B1361" s="1" t="s">
        <v>1787</v>
      </c>
      <c r="C1361" s="1" t="s">
        <v>1788</v>
      </c>
      <c r="D1361" s="2" t="str">
        <f>HYPERLINK("https://inventaire.cncp.gouv.fr/fiches/1352/","1352")</f>
        <v>1352</v>
      </c>
      <c r="E1361" s="2" t="str">
        <f>HYPERLINK("http://www.intercariforef.org/formations/certification-86210.html","86210")</f>
        <v>86210</v>
      </c>
      <c r="F1361" s="3">
        <v>42320</v>
      </c>
      <c r="G1361" s="3">
        <v>42403</v>
      </c>
    </row>
    <row r="1362" spans="1:7" ht="26.2" x14ac:dyDescent="0.3">
      <c r="A1362" s="1" t="s">
        <v>1784</v>
      </c>
      <c r="B1362" s="1" t="s">
        <v>1789</v>
      </c>
      <c r="C1362" s="1" t="s">
        <v>1786</v>
      </c>
      <c r="D1362" s="2" t="str">
        <f>HYPERLINK("https://inventaire.cncp.gouv.fr/fiches/4031/","4031")</f>
        <v>4031</v>
      </c>
      <c r="E1362" s="2" t="str">
        <f>HYPERLINK("http://www.intercariforef.org/formations/certification-103913.html","103913")</f>
        <v>103913</v>
      </c>
      <c r="F1362" s="3">
        <v>43390</v>
      </c>
      <c r="G1362" s="3">
        <v>43390</v>
      </c>
    </row>
    <row r="1363" spans="1:7" x14ac:dyDescent="0.3">
      <c r="A1363" s="1" t="s">
        <v>1784</v>
      </c>
      <c r="B1363" s="1" t="s">
        <v>1790</v>
      </c>
      <c r="C1363" s="1" t="s">
        <v>1773</v>
      </c>
      <c r="D1363" s="2" t="str">
        <f>HYPERLINK("https://inventaire.cncp.gouv.fr/fiches/101/","101")</f>
        <v>101</v>
      </c>
      <c r="E1363" s="2" t="str">
        <f>HYPERLINK("http://www.intercariforef.org/formations/certification-84165.html","84165")</f>
        <v>84165</v>
      </c>
      <c r="F1363" s="3">
        <v>42053</v>
      </c>
      <c r="G1363" s="3">
        <v>42758</v>
      </c>
    </row>
    <row r="1364" spans="1:7" x14ac:dyDescent="0.3">
      <c r="A1364" s="1" t="s">
        <v>1784</v>
      </c>
      <c r="B1364" s="1" t="s">
        <v>1791</v>
      </c>
      <c r="C1364" s="1" t="s">
        <v>1792</v>
      </c>
      <c r="D1364" s="2" t="str">
        <f>HYPERLINK("https://inventaire.cncp.gouv.fr/fiches/535/","535")</f>
        <v>535</v>
      </c>
      <c r="E1364" s="2" t="str">
        <f>HYPERLINK("http://www.intercariforef.org/formations/certification-84734.html","84734")</f>
        <v>84734</v>
      </c>
      <c r="F1364" s="3">
        <v>42156</v>
      </c>
      <c r="G1364" s="3">
        <v>42156</v>
      </c>
    </row>
    <row r="1365" spans="1:7" x14ac:dyDescent="0.3">
      <c r="A1365" s="1" t="s">
        <v>1784</v>
      </c>
      <c r="B1365" s="1" t="s">
        <v>1793</v>
      </c>
      <c r="C1365" s="1" t="s">
        <v>1773</v>
      </c>
      <c r="D1365" s="2" t="str">
        <f>HYPERLINK("https://inventaire.cncp.gouv.fr/fiches/2958/","2958")</f>
        <v>2958</v>
      </c>
      <c r="E1365" s="2" t="str">
        <f>HYPERLINK("http://www.intercariforef.org/formations/certification-98623.html","98623")</f>
        <v>98623</v>
      </c>
      <c r="F1365" s="3">
        <v>43038</v>
      </c>
      <c r="G1365" s="3">
        <v>43038</v>
      </c>
    </row>
    <row r="1366" spans="1:7" x14ac:dyDescent="0.3">
      <c r="A1366" s="1" t="s">
        <v>1784</v>
      </c>
      <c r="B1366" s="1" t="s">
        <v>1794</v>
      </c>
      <c r="C1366" s="1" t="s">
        <v>1773</v>
      </c>
      <c r="D1366" s="2" t="str">
        <f>HYPERLINK("https://inventaire.cncp.gouv.fr/fiches/1235/","1235")</f>
        <v>1235</v>
      </c>
      <c r="E1366" s="2" t="str">
        <f>HYPERLINK("http://www.intercariforef.org/formations/certification-85484.html","85484")</f>
        <v>85484</v>
      </c>
      <c r="F1366" s="3">
        <v>42264</v>
      </c>
      <c r="G1366" s="3">
        <v>42264</v>
      </c>
    </row>
    <row r="1367" spans="1:7" x14ac:dyDescent="0.3">
      <c r="A1367" s="1" t="s">
        <v>1784</v>
      </c>
      <c r="B1367" s="1" t="s">
        <v>1795</v>
      </c>
      <c r="C1367" s="1" t="s">
        <v>1773</v>
      </c>
      <c r="D1367" s="2" t="str">
        <f>HYPERLINK("https://inventaire.cncp.gouv.fr/fiches/1235/","1235")</f>
        <v>1235</v>
      </c>
      <c r="E1367" s="2" t="str">
        <f>HYPERLINK("http://www.intercariforef.org/formations/certification-85467.html","85467")</f>
        <v>85467</v>
      </c>
      <c r="F1367" s="3">
        <v>42264</v>
      </c>
      <c r="G1367" s="3">
        <v>42264</v>
      </c>
    </row>
    <row r="1368" spans="1:7" x14ac:dyDescent="0.3">
      <c r="A1368" s="1" t="s">
        <v>1784</v>
      </c>
      <c r="B1368" s="1" t="s">
        <v>1796</v>
      </c>
      <c r="C1368" s="1" t="s">
        <v>1773</v>
      </c>
      <c r="D1368" s="2" t="str">
        <f>HYPERLINK("https://inventaire.cncp.gouv.fr/fiches/1235/","1235")</f>
        <v>1235</v>
      </c>
      <c r="E1368" s="2" t="str">
        <f>HYPERLINK("http://www.intercariforef.org/formations/certification-85475.html","85475")</f>
        <v>85475</v>
      </c>
      <c r="F1368" s="3">
        <v>42264</v>
      </c>
      <c r="G1368" s="3">
        <v>42264</v>
      </c>
    </row>
    <row r="1369" spans="1:7" x14ac:dyDescent="0.3">
      <c r="A1369" s="1" t="s">
        <v>1784</v>
      </c>
      <c r="B1369" s="1" t="s">
        <v>1797</v>
      </c>
      <c r="C1369" s="1" t="s">
        <v>1773</v>
      </c>
      <c r="D1369" s="2" t="str">
        <f>HYPERLINK("https://inventaire.cncp.gouv.fr/fiches/2957/","2957")</f>
        <v>2957</v>
      </c>
      <c r="E1369" s="2" t="str">
        <f>HYPERLINK("http://www.intercariforef.org/formations/certification-98625.html","98625")</f>
        <v>98625</v>
      </c>
      <c r="F1369" s="3">
        <v>43038</v>
      </c>
      <c r="G1369" s="3">
        <v>43038</v>
      </c>
    </row>
    <row r="1370" spans="1:7" x14ac:dyDescent="0.3">
      <c r="A1370" s="1" t="s">
        <v>1784</v>
      </c>
      <c r="B1370" s="1" t="s">
        <v>1798</v>
      </c>
      <c r="C1370" s="1" t="s">
        <v>1773</v>
      </c>
      <c r="D1370" s="2" t="str">
        <f>HYPERLINK("https://inventaire.cncp.gouv.fr/fiches/2959/","2959")</f>
        <v>2959</v>
      </c>
      <c r="E1370" s="2" t="str">
        <f>HYPERLINK("http://www.intercariforef.org/formations/certification-98621.html","98621")</f>
        <v>98621</v>
      </c>
      <c r="F1370" s="3">
        <v>43038</v>
      </c>
      <c r="G1370" s="3">
        <v>43038</v>
      </c>
    </row>
    <row r="1371" spans="1:7" ht="26.2" x14ac:dyDescent="0.3">
      <c r="A1371" s="1" t="s">
        <v>1784</v>
      </c>
      <c r="B1371" s="1" t="s">
        <v>1799</v>
      </c>
      <c r="C1371" s="1" t="s">
        <v>1800</v>
      </c>
      <c r="D1371" s="2" t="str">
        <f>HYPERLINK("https://inventaire.cncp.gouv.fr/fiches/1350/","1350")</f>
        <v>1350</v>
      </c>
      <c r="E1371" s="2" t="str">
        <f>HYPERLINK("http://www.intercariforef.org/formations/certification-86327.html","86327")</f>
        <v>86327</v>
      </c>
      <c r="F1371" s="3">
        <v>42338</v>
      </c>
      <c r="G1371" s="3">
        <v>42418</v>
      </c>
    </row>
    <row r="1372" spans="1:7" x14ac:dyDescent="0.3">
      <c r="A1372" s="1" t="s">
        <v>1784</v>
      </c>
      <c r="B1372" s="1" t="s">
        <v>1801</v>
      </c>
      <c r="C1372" s="1" t="s">
        <v>1802</v>
      </c>
      <c r="D1372" s="2" t="str">
        <f>HYPERLINK("https://inventaire.cncp.gouv.fr/fiches/3271/","3271")</f>
        <v>3271</v>
      </c>
      <c r="E1372" s="2" t="str">
        <f>HYPERLINK("http://www.intercariforef.org/formations/certification-101199.html","101199")</f>
        <v>101199</v>
      </c>
      <c r="F1372" s="3">
        <v>43250</v>
      </c>
      <c r="G1372" s="3">
        <v>43250</v>
      </c>
    </row>
    <row r="1373" spans="1:7" x14ac:dyDescent="0.3">
      <c r="A1373" s="1" t="s">
        <v>1784</v>
      </c>
      <c r="B1373" s="1" t="s">
        <v>1803</v>
      </c>
      <c r="C1373" s="1" t="s">
        <v>1804</v>
      </c>
      <c r="D1373" s="2" t="str">
        <f>HYPERLINK("https://inventaire.cncp.gouv.fr/fiches/1409/","1409")</f>
        <v>1409</v>
      </c>
      <c r="E1373" s="2" t="str">
        <f>HYPERLINK("http://www.intercariforef.org/formations/certification-91913.html","91913")</f>
        <v>91913</v>
      </c>
      <c r="F1373" s="3">
        <v>42662</v>
      </c>
      <c r="G1373" s="3">
        <v>42662</v>
      </c>
    </row>
    <row r="1374" spans="1:7" x14ac:dyDescent="0.3">
      <c r="A1374" s="1" t="s">
        <v>1784</v>
      </c>
      <c r="B1374" s="1" t="s">
        <v>1805</v>
      </c>
      <c r="C1374" s="1" t="s">
        <v>1804</v>
      </c>
      <c r="D1374" s="2" t="str">
        <f>HYPERLINK("https://inventaire.cncp.gouv.fr/fiches/2134/","2134")</f>
        <v>2134</v>
      </c>
      <c r="E1374" s="2" t="str">
        <f>HYPERLINK("http://www.intercariforef.org/formations/certification-91905.html","91905")</f>
        <v>91905</v>
      </c>
      <c r="F1374" s="3">
        <v>42662</v>
      </c>
      <c r="G1374" s="3">
        <v>42872</v>
      </c>
    </row>
    <row r="1375" spans="1:7" x14ac:dyDescent="0.3">
      <c r="A1375" s="1" t="s">
        <v>1784</v>
      </c>
      <c r="B1375" s="1" t="s">
        <v>1806</v>
      </c>
      <c r="C1375" s="1" t="s">
        <v>1804</v>
      </c>
      <c r="D1375" s="2" t="str">
        <f>HYPERLINK("https://inventaire.cncp.gouv.fr/fiches/2136/","2136")</f>
        <v>2136</v>
      </c>
      <c r="E1375" s="2" t="str">
        <f>HYPERLINK("http://www.intercariforef.org/formations/certification-91901.html","91901")</f>
        <v>91901</v>
      </c>
      <c r="F1375" s="3">
        <v>42662</v>
      </c>
      <c r="G1375" s="3">
        <v>42872</v>
      </c>
    </row>
    <row r="1376" spans="1:7" x14ac:dyDescent="0.3">
      <c r="A1376" s="1" t="s">
        <v>1784</v>
      </c>
      <c r="B1376" s="1" t="s">
        <v>1807</v>
      </c>
      <c r="C1376" s="1" t="s">
        <v>1804</v>
      </c>
      <c r="D1376" s="2" t="str">
        <f>HYPERLINK("https://inventaire.cncp.gouv.fr/fiches/2135/","2135")</f>
        <v>2135</v>
      </c>
      <c r="E1376" s="2" t="str">
        <f>HYPERLINK("http://www.intercariforef.org/formations/certification-91903.html","91903")</f>
        <v>91903</v>
      </c>
      <c r="F1376" s="3">
        <v>42662</v>
      </c>
      <c r="G1376" s="3">
        <v>42872</v>
      </c>
    </row>
    <row r="1377" spans="1:7" x14ac:dyDescent="0.3">
      <c r="A1377" s="1" t="s">
        <v>1784</v>
      </c>
      <c r="B1377" s="1" t="s">
        <v>1808</v>
      </c>
      <c r="C1377" s="1" t="s">
        <v>1809</v>
      </c>
      <c r="D1377" s="2" t="str">
        <f>HYPERLINK("https://inventaire.cncp.gouv.fr/fiches/4088/","4088")</f>
        <v>4088</v>
      </c>
      <c r="E1377" s="2" t="str">
        <f>HYPERLINK("http://www.intercariforef.org/formations/certification-103911.html","103911")</f>
        <v>103911</v>
      </c>
      <c r="F1377" s="3">
        <v>43390</v>
      </c>
      <c r="G1377" s="3">
        <v>43390</v>
      </c>
    </row>
    <row r="1378" spans="1:7" x14ac:dyDescent="0.3">
      <c r="A1378" s="1" t="s">
        <v>1784</v>
      </c>
      <c r="B1378" s="1" t="s">
        <v>1810</v>
      </c>
      <c r="C1378" s="1" t="s">
        <v>1809</v>
      </c>
      <c r="D1378" s="2" t="str">
        <f>HYPERLINK("https://inventaire.cncp.gouv.fr/fiches/4089/","4089")</f>
        <v>4089</v>
      </c>
      <c r="E1378" s="2" t="str">
        <f>HYPERLINK("http://www.intercariforef.org/formations/certification-103909.html","103909")</f>
        <v>103909</v>
      </c>
      <c r="F1378" s="3">
        <v>43390</v>
      </c>
      <c r="G1378" s="3">
        <v>43390</v>
      </c>
    </row>
    <row r="1379" spans="1:7" x14ac:dyDescent="0.3">
      <c r="A1379" s="1" t="s">
        <v>1784</v>
      </c>
      <c r="B1379" s="1" t="s">
        <v>1811</v>
      </c>
      <c r="C1379" s="1" t="s">
        <v>1809</v>
      </c>
      <c r="D1379" s="2" t="str">
        <f>HYPERLINK("https://inventaire.cncp.gouv.fr/fiches/4090/","4090")</f>
        <v>4090</v>
      </c>
      <c r="E1379" s="2" t="str">
        <f>HYPERLINK("http://www.intercariforef.org/formations/certification-103907.html","103907")</f>
        <v>103907</v>
      </c>
      <c r="F1379" s="3">
        <v>43390</v>
      </c>
      <c r="G1379" s="3">
        <v>43390</v>
      </c>
    </row>
    <row r="1380" spans="1:7" x14ac:dyDescent="0.3">
      <c r="A1380" s="1" t="s">
        <v>1784</v>
      </c>
      <c r="B1380" s="1" t="s">
        <v>1812</v>
      </c>
      <c r="C1380" s="1" t="s">
        <v>1809</v>
      </c>
      <c r="D1380" s="2" t="str">
        <f>HYPERLINK("https://inventaire.cncp.gouv.fr/fiches/4091/","4091")</f>
        <v>4091</v>
      </c>
      <c r="E1380" s="2" t="str">
        <f>HYPERLINK("http://www.intercariforef.org/formations/certification-103905.html","103905")</f>
        <v>103905</v>
      </c>
      <c r="F1380" s="3">
        <v>43390</v>
      </c>
      <c r="G1380" s="3">
        <v>43390</v>
      </c>
    </row>
    <row r="1381" spans="1:7" x14ac:dyDescent="0.3">
      <c r="A1381" s="1" t="s">
        <v>1784</v>
      </c>
      <c r="B1381" s="1" t="s">
        <v>1813</v>
      </c>
      <c r="C1381" s="1" t="s">
        <v>1809</v>
      </c>
      <c r="D1381" s="2" t="str">
        <f>HYPERLINK("https://inventaire.cncp.gouv.fr/fiches/4092/","4092")</f>
        <v>4092</v>
      </c>
      <c r="E1381" s="2" t="str">
        <f>HYPERLINK("http://www.intercariforef.org/formations/certification-103903.html","103903")</f>
        <v>103903</v>
      </c>
      <c r="F1381" s="3">
        <v>43390</v>
      </c>
      <c r="G1381" s="3">
        <v>43390</v>
      </c>
    </row>
    <row r="1382" spans="1:7" x14ac:dyDescent="0.3">
      <c r="A1382" s="1" t="s">
        <v>1784</v>
      </c>
      <c r="B1382" s="1" t="s">
        <v>1814</v>
      </c>
      <c r="C1382" s="1" t="s">
        <v>1815</v>
      </c>
      <c r="D1382" s="2" t="str">
        <f>HYPERLINK("https://inventaire.cncp.gouv.fr/fiches/3041/","3041")</f>
        <v>3041</v>
      </c>
      <c r="E1382" s="2" t="str">
        <f>HYPERLINK("http://www.intercariforef.org/formations/certification-98509.html","98509")</f>
        <v>98509</v>
      </c>
      <c r="F1382" s="3">
        <v>43033</v>
      </c>
      <c r="G1382" s="3">
        <v>43033</v>
      </c>
    </row>
    <row r="1383" spans="1:7" x14ac:dyDescent="0.3">
      <c r="A1383" s="1" t="s">
        <v>1784</v>
      </c>
      <c r="B1383" s="1" t="s">
        <v>1816</v>
      </c>
      <c r="C1383" s="1" t="s">
        <v>1817</v>
      </c>
      <c r="D1383" s="2" t="str">
        <f>HYPERLINK("https://inventaire.cncp.gouv.fr/fiches/15/","15")</f>
        <v>15</v>
      </c>
      <c r="E1383" s="2" t="str">
        <f>HYPERLINK("http://www.intercariforef.org/formations/certification-84528.html","84528")</f>
        <v>84528</v>
      </c>
      <c r="F1383" s="3">
        <v>42114</v>
      </c>
      <c r="G1383" s="3">
        <v>42114</v>
      </c>
    </row>
    <row r="1384" spans="1:7" x14ac:dyDescent="0.3">
      <c r="A1384" s="1" t="s">
        <v>1784</v>
      </c>
      <c r="B1384" s="1" t="s">
        <v>1818</v>
      </c>
      <c r="C1384" s="1" t="s">
        <v>1819</v>
      </c>
      <c r="D1384" s="2" t="str">
        <f>HYPERLINK("https://inventaire.cncp.gouv.fr/fiches/3330/","3330")</f>
        <v>3330</v>
      </c>
      <c r="E1384" s="2" t="str">
        <f>HYPERLINK("http://www.intercariforef.org/formations/certification-100397.html","100397")</f>
        <v>100397</v>
      </c>
      <c r="F1384" s="3">
        <v>43173</v>
      </c>
      <c r="G1384" s="3">
        <v>43173</v>
      </c>
    </row>
    <row r="1385" spans="1:7" x14ac:dyDescent="0.3">
      <c r="A1385" s="1" t="s">
        <v>1784</v>
      </c>
      <c r="B1385" s="1" t="s">
        <v>1820</v>
      </c>
      <c r="C1385" s="1" t="s">
        <v>1821</v>
      </c>
      <c r="D1385" s="2" t="str">
        <f>HYPERLINK("https://inventaire.cncp.gouv.fr/fiches/2165/","2165")</f>
        <v>2165</v>
      </c>
      <c r="E1385" s="2" t="str">
        <f>HYPERLINK("http://www.intercariforef.org/formations/certification-89181.html","89181")</f>
        <v>89181</v>
      </c>
      <c r="F1385" s="3">
        <v>42521</v>
      </c>
      <c r="G1385" s="3">
        <v>42521</v>
      </c>
    </row>
    <row r="1386" spans="1:7" x14ac:dyDescent="0.3">
      <c r="A1386" s="1" t="s">
        <v>1784</v>
      </c>
      <c r="B1386" s="1" t="s">
        <v>1822</v>
      </c>
      <c r="C1386" s="1" t="s">
        <v>1823</v>
      </c>
      <c r="D1386" s="2" t="str">
        <f>HYPERLINK("https://inventaire.cncp.gouv.fr/fiches/3214/","3214")</f>
        <v>3214</v>
      </c>
      <c r="E1386" s="2" t="str">
        <f>HYPERLINK("http://www.intercariforef.org/formations/certification-98511.html","98511")</f>
        <v>98511</v>
      </c>
      <c r="F1386" s="3">
        <v>43033</v>
      </c>
      <c r="G1386" s="3">
        <v>43033</v>
      </c>
    </row>
    <row r="1387" spans="1:7" x14ac:dyDescent="0.3">
      <c r="A1387" s="1" t="s">
        <v>1784</v>
      </c>
      <c r="B1387" s="1" t="s">
        <v>1824</v>
      </c>
      <c r="C1387" s="1" t="s">
        <v>1825</v>
      </c>
      <c r="D1387" s="2" t="str">
        <f>HYPERLINK("https://inventaire.cncp.gouv.fr/fiches/2634/","2634")</f>
        <v>2634</v>
      </c>
      <c r="E1387" s="2" t="str">
        <f>HYPERLINK("http://www.intercariforef.org/formations/certification-95455.html","95455")</f>
        <v>95455</v>
      </c>
      <c r="F1387" s="3">
        <v>42884</v>
      </c>
      <c r="G1387" s="3">
        <v>43279</v>
      </c>
    </row>
    <row r="1388" spans="1:7" x14ac:dyDescent="0.3">
      <c r="A1388" s="1" t="s">
        <v>1784</v>
      </c>
      <c r="B1388" s="1" t="s">
        <v>1826</v>
      </c>
      <c r="C1388" s="1" t="s">
        <v>70</v>
      </c>
      <c r="D1388" s="2" t="str">
        <f>HYPERLINK("https://inventaire.cncp.gouv.fr/fiches/484/","484")</f>
        <v>484</v>
      </c>
      <c r="E1388" s="2" t="str">
        <f>HYPERLINK("http://www.intercariforef.org/formations/certification-84699.html","84699")</f>
        <v>84699</v>
      </c>
      <c r="F1388" s="3">
        <v>42156</v>
      </c>
      <c r="G1388" s="3">
        <v>43111</v>
      </c>
    </row>
    <row r="1389" spans="1:7" x14ac:dyDescent="0.3">
      <c r="A1389" s="1" t="s">
        <v>1784</v>
      </c>
      <c r="B1389" s="1" t="s">
        <v>1827</v>
      </c>
      <c r="C1389" s="1" t="s">
        <v>466</v>
      </c>
      <c r="D1389" s="2" t="str">
        <f>HYPERLINK("https://inventaire.cncp.gouv.fr/fiches/1700/","1700")</f>
        <v>1700</v>
      </c>
      <c r="E1389" s="2" t="str">
        <f>HYPERLINK("http://www.intercariforef.org/formations/certification-55892.html","55892")</f>
        <v>55892</v>
      </c>
      <c r="F1389" s="3">
        <v>33774</v>
      </c>
      <c r="G1389" s="3">
        <v>42488</v>
      </c>
    </row>
    <row r="1390" spans="1:7" x14ac:dyDescent="0.3">
      <c r="A1390" s="1" t="s">
        <v>1784</v>
      </c>
      <c r="B1390" s="1" t="s">
        <v>1828</v>
      </c>
      <c r="C1390" s="1" t="s">
        <v>466</v>
      </c>
      <c r="D1390" s="2" t="str">
        <f>HYPERLINK("https://inventaire.cncp.gouv.fr/fiches/1701/","1701")</f>
        <v>1701</v>
      </c>
      <c r="E1390" s="2" t="str">
        <f>HYPERLINK("http://www.intercariforef.org/formations/certification-55893.html","55893")</f>
        <v>55893</v>
      </c>
      <c r="F1390" s="3">
        <v>33774</v>
      </c>
      <c r="G1390" s="3">
        <v>42488</v>
      </c>
    </row>
    <row r="1391" spans="1:7" x14ac:dyDescent="0.3">
      <c r="A1391" s="1" t="s">
        <v>1784</v>
      </c>
      <c r="B1391" s="1" t="s">
        <v>1829</v>
      </c>
      <c r="C1391" s="1" t="s">
        <v>466</v>
      </c>
      <c r="D1391" s="2" t="str">
        <f>HYPERLINK("https://inventaire.cncp.gouv.fr/fiches/618/","618")</f>
        <v>618</v>
      </c>
      <c r="E1391" s="2" t="str">
        <f>HYPERLINK("http://www.intercariforef.org/formations/certification-84633.html","84633")</f>
        <v>84633</v>
      </c>
      <c r="F1391" s="3">
        <v>42145</v>
      </c>
      <c r="G1391" s="3">
        <v>42830</v>
      </c>
    </row>
    <row r="1392" spans="1:7" x14ac:dyDescent="0.3">
      <c r="A1392" s="1" t="s">
        <v>1784</v>
      </c>
      <c r="B1392" s="1" t="s">
        <v>1830</v>
      </c>
      <c r="C1392" s="1" t="s">
        <v>466</v>
      </c>
      <c r="D1392" s="2" t="str">
        <f>HYPERLINK("https://inventaire.cncp.gouv.fr/fiches/617/","617")</f>
        <v>617</v>
      </c>
      <c r="E1392" s="2" t="str">
        <f>HYPERLINK("http://www.intercariforef.org/formations/certification-72753.html","72753")</f>
        <v>72753</v>
      </c>
      <c r="F1392" s="3">
        <v>40547</v>
      </c>
      <c r="G1392" s="3">
        <v>42830</v>
      </c>
    </row>
    <row r="1393" spans="1:7" x14ac:dyDescent="0.3">
      <c r="A1393" s="1" t="s">
        <v>1784</v>
      </c>
      <c r="B1393" s="1" t="s">
        <v>1831</v>
      </c>
      <c r="C1393" s="1" t="s">
        <v>466</v>
      </c>
      <c r="D1393" s="2" t="str">
        <f>HYPERLINK("https://inventaire.cncp.gouv.fr/fiches/587/","587")</f>
        <v>587</v>
      </c>
      <c r="E1393" s="2" t="str">
        <f>HYPERLINK("http://www.intercariforef.org/formations/certification-68834.html","68834")</f>
        <v>68834</v>
      </c>
      <c r="F1393" s="3">
        <v>40309</v>
      </c>
      <c r="G1393" s="3">
        <v>42830</v>
      </c>
    </row>
    <row r="1394" spans="1:7" x14ac:dyDescent="0.3">
      <c r="A1394" s="1" t="s">
        <v>1784</v>
      </c>
      <c r="B1394" s="1" t="s">
        <v>1832</v>
      </c>
      <c r="C1394" s="1" t="s">
        <v>466</v>
      </c>
      <c r="D1394" s="2" t="str">
        <f>HYPERLINK("https://inventaire.cncp.gouv.fr/fiches/46/","46")</f>
        <v>46</v>
      </c>
      <c r="E1394" s="2" t="str">
        <f>HYPERLINK("http://www.intercariforef.org/formations/certification-68833.html","68833")</f>
        <v>68833</v>
      </c>
      <c r="F1394" s="3">
        <v>40309</v>
      </c>
      <c r="G1394" s="3">
        <v>42830</v>
      </c>
    </row>
    <row r="1395" spans="1:7" x14ac:dyDescent="0.3">
      <c r="A1395" s="1" t="s">
        <v>1784</v>
      </c>
      <c r="B1395" s="1" t="s">
        <v>1833</v>
      </c>
      <c r="C1395" s="1" t="s">
        <v>466</v>
      </c>
      <c r="D1395" s="2" t="str">
        <f>HYPERLINK("https://inventaire.cncp.gouv.fr/fiches/589/","589")</f>
        <v>589</v>
      </c>
      <c r="E1395" s="2" t="str">
        <f>HYPERLINK("http://www.intercariforef.org/formations/certification-68835.html","68835")</f>
        <v>68835</v>
      </c>
      <c r="F1395" s="3">
        <v>40309</v>
      </c>
      <c r="G1395" s="3">
        <v>42830</v>
      </c>
    </row>
    <row r="1396" spans="1:7" x14ac:dyDescent="0.3">
      <c r="A1396" s="1" t="s">
        <v>1784</v>
      </c>
      <c r="B1396" s="1" t="s">
        <v>1834</v>
      </c>
      <c r="C1396" s="1" t="s">
        <v>466</v>
      </c>
      <c r="D1396" s="2" t="str">
        <f>HYPERLINK("https://inventaire.cncp.gouv.fr/fiches/590/","590")</f>
        <v>590</v>
      </c>
      <c r="E1396" s="2" t="str">
        <f>HYPERLINK("http://www.intercariforef.org/formations/certification-68837.html","68837")</f>
        <v>68837</v>
      </c>
      <c r="F1396" s="3">
        <v>40309</v>
      </c>
      <c r="G1396" s="3">
        <v>42830</v>
      </c>
    </row>
    <row r="1397" spans="1:7" x14ac:dyDescent="0.3">
      <c r="A1397" s="1" t="s">
        <v>1784</v>
      </c>
      <c r="B1397" s="1" t="s">
        <v>1835</v>
      </c>
      <c r="C1397" s="1" t="s">
        <v>466</v>
      </c>
      <c r="D1397" s="2" t="str">
        <f>HYPERLINK("https://inventaire.cncp.gouv.fr/fiches/591/","591")</f>
        <v>591</v>
      </c>
      <c r="E1397" s="2" t="str">
        <f>HYPERLINK("http://www.intercariforef.org/formations/certification-68838.html","68838")</f>
        <v>68838</v>
      </c>
      <c r="F1397" s="3">
        <v>40309</v>
      </c>
      <c r="G1397" s="3">
        <v>42830</v>
      </c>
    </row>
    <row r="1398" spans="1:7" x14ac:dyDescent="0.3">
      <c r="A1398" s="1" t="s">
        <v>1784</v>
      </c>
      <c r="B1398" s="1" t="s">
        <v>1836</v>
      </c>
      <c r="C1398" s="1" t="s">
        <v>466</v>
      </c>
      <c r="D1398" s="2" t="str">
        <f>HYPERLINK("https://inventaire.cncp.gouv.fr/fiches/593/","593")</f>
        <v>593</v>
      </c>
      <c r="E1398" s="2" t="str">
        <f>HYPERLINK("http://www.intercariforef.org/formations/certification-68844.html","68844")</f>
        <v>68844</v>
      </c>
      <c r="F1398" s="3">
        <v>40309</v>
      </c>
      <c r="G1398" s="3">
        <v>42830</v>
      </c>
    </row>
    <row r="1399" spans="1:7" x14ac:dyDescent="0.3">
      <c r="A1399" s="1" t="s">
        <v>1784</v>
      </c>
      <c r="B1399" s="1" t="s">
        <v>1837</v>
      </c>
      <c r="C1399" s="1" t="s">
        <v>466</v>
      </c>
      <c r="D1399" s="2" t="str">
        <f>HYPERLINK("https://inventaire.cncp.gouv.fr/fiches/598/","598")</f>
        <v>598</v>
      </c>
      <c r="E1399" s="2" t="str">
        <f>HYPERLINK("http://www.intercariforef.org/formations/certification-68839.html","68839")</f>
        <v>68839</v>
      </c>
      <c r="F1399" s="3">
        <v>40309</v>
      </c>
      <c r="G1399" s="3">
        <v>42830</v>
      </c>
    </row>
    <row r="1400" spans="1:7" x14ac:dyDescent="0.3">
      <c r="A1400" s="1" t="s">
        <v>1784</v>
      </c>
      <c r="B1400" s="1" t="s">
        <v>1838</v>
      </c>
      <c r="C1400" s="1" t="s">
        <v>466</v>
      </c>
      <c r="D1400" s="2" t="str">
        <f>HYPERLINK("https://inventaire.cncp.gouv.fr/fiches/602/","602")</f>
        <v>602</v>
      </c>
      <c r="E1400" s="2" t="str">
        <f>HYPERLINK("http://www.intercariforef.org/formations/certification-68841.html","68841")</f>
        <v>68841</v>
      </c>
      <c r="F1400" s="3">
        <v>40309</v>
      </c>
      <c r="G1400" s="3">
        <v>42830</v>
      </c>
    </row>
    <row r="1401" spans="1:7" x14ac:dyDescent="0.3">
      <c r="A1401" s="1" t="s">
        <v>1784</v>
      </c>
      <c r="B1401" s="1" t="s">
        <v>1839</v>
      </c>
      <c r="C1401" s="1" t="s">
        <v>466</v>
      </c>
      <c r="D1401" s="2" t="str">
        <f>HYPERLINK("https://inventaire.cncp.gouv.fr/fiches/603/","603")</f>
        <v>603</v>
      </c>
      <c r="E1401" s="2" t="str">
        <f>HYPERLINK("http://www.intercariforef.org/formations/certification-68843.html","68843")</f>
        <v>68843</v>
      </c>
      <c r="F1401" s="3">
        <v>40309</v>
      </c>
      <c r="G1401" s="3">
        <v>42830</v>
      </c>
    </row>
    <row r="1402" spans="1:7" x14ac:dyDescent="0.3">
      <c r="A1402" s="1" t="s">
        <v>1784</v>
      </c>
      <c r="B1402" s="1" t="s">
        <v>1840</v>
      </c>
      <c r="C1402" s="1" t="s">
        <v>466</v>
      </c>
      <c r="D1402" s="2" t="str">
        <f>HYPERLINK("https://inventaire.cncp.gouv.fr/fiches/619/","619")</f>
        <v>619</v>
      </c>
      <c r="E1402" s="2" t="str">
        <f>HYPERLINK("http://www.intercariforef.org/formations/certification-84632.html","84632")</f>
        <v>84632</v>
      </c>
      <c r="F1402" s="3">
        <v>42145</v>
      </c>
      <c r="G1402" s="3">
        <v>42145</v>
      </c>
    </row>
    <row r="1403" spans="1:7" x14ac:dyDescent="0.3">
      <c r="A1403" s="1" t="s">
        <v>1784</v>
      </c>
      <c r="B1403" s="1" t="s">
        <v>1840</v>
      </c>
      <c r="C1403" s="1" t="s">
        <v>466</v>
      </c>
      <c r="D1403" s="2" t="str">
        <f>HYPERLINK("https://inventaire.cncp.gouv.fr/fiches/619/","619")</f>
        <v>619</v>
      </c>
      <c r="E1403" s="2" t="str">
        <f>HYPERLINK("http://www.intercariforef.org/formations/certification-94759.html","94759")</f>
        <v>94759</v>
      </c>
      <c r="F1403" s="3">
        <v>42830</v>
      </c>
      <c r="G1403" s="3">
        <v>42830</v>
      </c>
    </row>
    <row r="1404" spans="1:7" x14ac:dyDescent="0.3">
      <c r="A1404" s="1" t="s">
        <v>1784</v>
      </c>
      <c r="B1404" s="1" t="s">
        <v>1841</v>
      </c>
      <c r="C1404" s="1" t="s">
        <v>466</v>
      </c>
      <c r="D1404" s="4" t="s">
        <v>536</v>
      </c>
      <c r="E1404" s="2" t="str">
        <f>HYPERLINK("http://www.intercariforef.org/formations/certification-72751.html","72751")</f>
        <v>72751</v>
      </c>
      <c r="F1404" s="3">
        <v>40547</v>
      </c>
      <c r="G1404" s="3">
        <v>42188</v>
      </c>
    </row>
    <row r="1405" spans="1:7" x14ac:dyDescent="0.3">
      <c r="A1405" s="1" t="s">
        <v>1784</v>
      </c>
      <c r="B1405" s="1" t="s">
        <v>1842</v>
      </c>
      <c r="C1405" s="1" t="s">
        <v>1843</v>
      </c>
      <c r="D1405" s="2" t="str">
        <f>HYPERLINK("https://inventaire.cncp.gouv.fr/fiches/2144/","2144")</f>
        <v>2144</v>
      </c>
      <c r="E1405" s="2" t="str">
        <f>HYPERLINK("http://www.intercariforef.org/formations/certification-89209.html","89209")</f>
        <v>89209</v>
      </c>
      <c r="F1405" s="3">
        <v>42522</v>
      </c>
      <c r="G1405" s="3">
        <v>42522</v>
      </c>
    </row>
    <row r="1406" spans="1:7" x14ac:dyDescent="0.3">
      <c r="A1406" s="1" t="s">
        <v>1784</v>
      </c>
      <c r="B1406" s="1" t="s">
        <v>1844</v>
      </c>
      <c r="C1406" s="1" t="s">
        <v>1843</v>
      </c>
      <c r="D1406" s="2" t="str">
        <f>HYPERLINK("https://inventaire.cncp.gouv.fr/fiches/2140/","2140")</f>
        <v>2140</v>
      </c>
      <c r="E1406" s="2" t="str">
        <f>HYPERLINK("http://www.intercariforef.org/formations/certification-89211.html","89211")</f>
        <v>89211</v>
      </c>
      <c r="F1406" s="3">
        <v>42522</v>
      </c>
      <c r="G1406" s="3">
        <v>42522</v>
      </c>
    </row>
    <row r="1407" spans="1:7" x14ac:dyDescent="0.3">
      <c r="A1407" s="1" t="s">
        <v>1784</v>
      </c>
      <c r="B1407" s="1" t="s">
        <v>1845</v>
      </c>
      <c r="C1407" s="1" t="s">
        <v>1843</v>
      </c>
      <c r="D1407" s="2" t="str">
        <f>HYPERLINK("https://inventaire.cncp.gouv.fr/fiches/2145/","2145")</f>
        <v>2145</v>
      </c>
      <c r="E1407" s="2" t="str">
        <f>HYPERLINK("http://www.intercariforef.org/formations/certification-89213.html","89213")</f>
        <v>89213</v>
      </c>
      <c r="F1407" s="3">
        <v>42522</v>
      </c>
      <c r="G1407" s="3">
        <v>42522</v>
      </c>
    </row>
    <row r="1408" spans="1:7" x14ac:dyDescent="0.3">
      <c r="A1408" s="1" t="s">
        <v>1784</v>
      </c>
      <c r="B1408" s="1" t="s">
        <v>1846</v>
      </c>
      <c r="C1408" s="1" t="s">
        <v>1843</v>
      </c>
      <c r="D1408" s="2" t="str">
        <f>HYPERLINK("https://inventaire.cncp.gouv.fr/fiches/2143/","2143")</f>
        <v>2143</v>
      </c>
      <c r="E1408" s="2" t="str">
        <f>HYPERLINK("http://www.intercariforef.org/formations/certification-89215.html","89215")</f>
        <v>89215</v>
      </c>
      <c r="F1408" s="3">
        <v>42522</v>
      </c>
      <c r="G1408" s="3">
        <v>42522</v>
      </c>
    </row>
    <row r="1409" spans="1:7" x14ac:dyDescent="0.3">
      <c r="A1409" s="1" t="s">
        <v>1784</v>
      </c>
      <c r="B1409" s="1" t="s">
        <v>1847</v>
      </c>
      <c r="C1409" s="1" t="s">
        <v>1843</v>
      </c>
      <c r="D1409" s="2" t="str">
        <f>HYPERLINK("https://inventaire.cncp.gouv.fr/fiches/2137/","2137")</f>
        <v>2137</v>
      </c>
      <c r="E1409" s="2" t="str">
        <f>HYPERLINK("http://www.intercariforef.org/formations/certification-89217.html","89217")</f>
        <v>89217</v>
      </c>
      <c r="F1409" s="3">
        <v>42522</v>
      </c>
      <c r="G1409" s="3">
        <v>42522</v>
      </c>
    </row>
    <row r="1410" spans="1:7" x14ac:dyDescent="0.3">
      <c r="A1410" s="1" t="s">
        <v>1784</v>
      </c>
      <c r="B1410" s="1" t="s">
        <v>1848</v>
      </c>
      <c r="C1410" s="1" t="s">
        <v>1843</v>
      </c>
      <c r="D1410" s="2" t="str">
        <f>HYPERLINK("https://inventaire.cncp.gouv.fr/fiches/2119/","2119")</f>
        <v>2119</v>
      </c>
      <c r="E1410" s="2" t="str">
        <f>HYPERLINK("http://www.intercariforef.org/formations/certification-89229.html","89229")</f>
        <v>89229</v>
      </c>
      <c r="F1410" s="3">
        <v>42522</v>
      </c>
      <c r="G1410" s="3">
        <v>42522</v>
      </c>
    </row>
    <row r="1411" spans="1:7" x14ac:dyDescent="0.3">
      <c r="A1411" s="1" t="s">
        <v>1784</v>
      </c>
      <c r="B1411" s="1" t="s">
        <v>1849</v>
      </c>
      <c r="C1411" s="1" t="s">
        <v>1843</v>
      </c>
      <c r="D1411" s="2" t="str">
        <f>HYPERLINK("https://inventaire.cncp.gouv.fr/fiches/2123/","2123")</f>
        <v>2123</v>
      </c>
      <c r="E1411" s="2" t="str">
        <f>HYPERLINK("http://www.intercariforef.org/formations/certification-89233.html","89233")</f>
        <v>89233</v>
      </c>
      <c r="F1411" s="3">
        <v>42522</v>
      </c>
      <c r="G1411" s="3">
        <v>42522</v>
      </c>
    </row>
    <row r="1412" spans="1:7" x14ac:dyDescent="0.3">
      <c r="A1412" s="1" t="s">
        <v>1784</v>
      </c>
      <c r="B1412" s="1" t="s">
        <v>1850</v>
      </c>
      <c r="C1412" s="1" t="s">
        <v>1843</v>
      </c>
      <c r="D1412" s="2" t="str">
        <f>HYPERLINK("https://inventaire.cncp.gouv.fr/fiches/2130/","2130")</f>
        <v>2130</v>
      </c>
      <c r="E1412" s="2" t="str">
        <f>HYPERLINK("http://www.intercariforef.org/formations/certification-89225.html","89225")</f>
        <v>89225</v>
      </c>
      <c r="F1412" s="3">
        <v>42522</v>
      </c>
      <c r="G1412" s="3">
        <v>42522</v>
      </c>
    </row>
    <row r="1413" spans="1:7" x14ac:dyDescent="0.3">
      <c r="A1413" s="1" t="s">
        <v>1784</v>
      </c>
      <c r="B1413" s="1" t="s">
        <v>1851</v>
      </c>
      <c r="C1413" s="1" t="s">
        <v>1843</v>
      </c>
      <c r="D1413" s="2" t="str">
        <f>HYPERLINK("https://inventaire.cncp.gouv.fr/fiches/2117/","2117")</f>
        <v>2117</v>
      </c>
      <c r="E1413" s="2" t="str">
        <f>HYPERLINK("http://www.intercariforef.org/formations/certification-89227.html","89227")</f>
        <v>89227</v>
      </c>
      <c r="F1413" s="3">
        <v>42522</v>
      </c>
      <c r="G1413" s="3">
        <v>43340</v>
      </c>
    </row>
    <row r="1414" spans="1:7" x14ac:dyDescent="0.3">
      <c r="A1414" s="1" t="s">
        <v>1784</v>
      </c>
      <c r="B1414" s="1" t="s">
        <v>1852</v>
      </c>
      <c r="C1414" s="1" t="s">
        <v>1853</v>
      </c>
      <c r="D1414" s="2" t="str">
        <f>HYPERLINK("https://inventaire.cncp.gouv.fr/fiches/3826/","3826")</f>
        <v>3826</v>
      </c>
      <c r="E1414" s="2" t="str">
        <f>HYPERLINK("http://www.intercariforef.org/formations/certification-102079.html","102079")</f>
        <v>102079</v>
      </c>
      <c r="F1414" s="3">
        <v>43293</v>
      </c>
      <c r="G1414" s="3">
        <v>43293</v>
      </c>
    </row>
    <row r="1415" spans="1:7" x14ac:dyDescent="0.3">
      <c r="A1415" s="1" t="s">
        <v>1784</v>
      </c>
      <c r="B1415" s="1" t="s">
        <v>1854</v>
      </c>
      <c r="C1415" s="1" t="s">
        <v>1853</v>
      </c>
      <c r="D1415" s="2" t="str">
        <f>HYPERLINK("https://inventaire.cncp.gouv.fr/fiches/3828/","3828")</f>
        <v>3828</v>
      </c>
      <c r="E1415" s="2" t="str">
        <f>HYPERLINK("http://www.intercariforef.org/formations/certification-102077.html","102077")</f>
        <v>102077</v>
      </c>
      <c r="F1415" s="3">
        <v>43293</v>
      </c>
      <c r="G1415" s="3">
        <v>43293</v>
      </c>
    </row>
    <row r="1416" spans="1:7" x14ac:dyDescent="0.3">
      <c r="A1416" s="1" t="s">
        <v>1784</v>
      </c>
      <c r="B1416" s="1" t="s">
        <v>1855</v>
      </c>
      <c r="C1416" s="1" t="s">
        <v>1843</v>
      </c>
      <c r="D1416" s="2" t="str">
        <f>HYPERLINK("https://inventaire.cncp.gouv.fr/fiches/2129/","2129")</f>
        <v>2129</v>
      </c>
      <c r="E1416" s="2" t="str">
        <f>HYPERLINK("http://www.intercariforef.org/formations/certification-89367.html","89367")</f>
        <v>89367</v>
      </c>
      <c r="F1416" s="3">
        <v>42527</v>
      </c>
      <c r="G1416" s="3">
        <v>42527</v>
      </c>
    </row>
    <row r="1417" spans="1:7" x14ac:dyDescent="0.3">
      <c r="A1417" s="1" t="s">
        <v>1784</v>
      </c>
      <c r="B1417" s="1" t="s">
        <v>1856</v>
      </c>
      <c r="C1417" s="1" t="s">
        <v>1843</v>
      </c>
      <c r="D1417" s="2" t="str">
        <f>HYPERLINK("https://inventaire.cncp.gouv.fr/fiches/2139/","2139")</f>
        <v>2139</v>
      </c>
      <c r="E1417" s="2" t="str">
        <f>HYPERLINK("http://www.intercariforef.org/formations/certification-89237.html","89237")</f>
        <v>89237</v>
      </c>
      <c r="F1417" s="3">
        <v>42522</v>
      </c>
      <c r="G1417" s="3">
        <v>42522</v>
      </c>
    </row>
    <row r="1418" spans="1:7" x14ac:dyDescent="0.3">
      <c r="A1418" s="1" t="s">
        <v>1784</v>
      </c>
      <c r="B1418" s="1" t="s">
        <v>1857</v>
      </c>
      <c r="C1418" s="1" t="s">
        <v>1843</v>
      </c>
      <c r="D1418" s="2" t="str">
        <f>HYPERLINK("https://inventaire.cncp.gouv.fr/fiches/2131/","2131")</f>
        <v>2131</v>
      </c>
      <c r="E1418" s="2" t="str">
        <f>HYPERLINK("http://www.intercariforef.org/formations/certification-89219.html","89219")</f>
        <v>89219</v>
      </c>
      <c r="F1418" s="3">
        <v>42522</v>
      </c>
      <c r="G1418" s="3">
        <v>42522</v>
      </c>
    </row>
    <row r="1419" spans="1:7" x14ac:dyDescent="0.3">
      <c r="A1419" s="1" t="s">
        <v>1784</v>
      </c>
      <c r="B1419" s="1" t="s">
        <v>1858</v>
      </c>
      <c r="C1419" s="1" t="s">
        <v>1843</v>
      </c>
      <c r="D1419" s="2" t="str">
        <f>HYPERLINK("https://inventaire.cncp.gouv.fr/fiches/2132/","2132")</f>
        <v>2132</v>
      </c>
      <c r="E1419" s="2" t="str">
        <f>HYPERLINK("http://www.intercariforef.org/formations/certification-89221.html","89221")</f>
        <v>89221</v>
      </c>
      <c r="F1419" s="3">
        <v>42522</v>
      </c>
      <c r="G1419" s="3">
        <v>42522</v>
      </c>
    </row>
    <row r="1420" spans="1:7" x14ac:dyDescent="0.3">
      <c r="A1420" s="1" t="s">
        <v>1784</v>
      </c>
      <c r="B1420" s="1" t="s">
        <v>1859</v>
      </c>
      <c r="C1420" s="1" t="s">
        <v>1843</v>
      </c>
      <c r="D1420" s="2" t="str">
        <f>HYPERLINK("https://inventaire.cncp.gouv.fr/fiches/2138/","2138")</f>
        <v>2138</v>
      </c>
      <c r="E1420" s="2" t="str">
        <f>HYPERLINK("http://www.intercariforef.org/formations/certification-89223.html","89223")</f>
        <v>89223</v>
      </c>
      <c r="F1420" s="3">
        <v>42522</v>
      </c>
      <c r="G1420" s="3">
        <v>42522</v>
      </c>
    </row>
    <row r="1421" spans="1:7" x14ac:dyDescent="0.3">
      <c r="A1421" s="1" t="s">
        <v>1784</v>
      </c>
      <c r="B1421" s="1" t="s">
        <v>1860</v>
      </c>
      <c r="C1421" s="1" t="s">
        <v>1843</v>
      </c>
      <c r="D1421" s="2" t="str">
        <f>HYPERLINK("https://inventaire.cncp.gouv.fr/fiches/2120/","2120")</f>
        <v>2120</v>
      </c>
      <c r="E1421" s="2" t="str">
        <f>HYPERLINK("http://www.intercariforef.org/formations/certification-89231.html","89231")</f>
        <v>89231</v>
      </c>
      <c r="F1421" s="3">
        <v>42522</v>
      </c>
      <c r="G1421" s="3">
        <v>43340</v>
      </c>
    </row>
    <row r="1422" spans="1:7" x14ac:dyDescent="0.3">
      <c r="A1422" s="1" t="s">
        <v>1784</v>
      </c>
      <c r="B1422" s="1" t="s">
        <v>1861</v>
      </c>
      <c r="C1422" s="1" t="s">
        <v>1843</v>
      </c>
      <c r="D1422" s="2" t="str">
        <f>HYPERLINK("https://inventaire.cncp.gouv.fr/fiches/2118/","2118")</f>
        <v>2118</v>
      </c>
      <c r="E1422" s="2" t="str">
        <f>HYPERLINK("http://www.intercariforef.org/formations/certification-89369.html","89369")</f>
        <v>89369</v>
      </c>
      <c r="F1422" s="3">
        <v>42527</v>
      </c>
      <c r="G1422" s="3">
        <v>43340</v>
      </c>
    </row>
    <row r="1423" spans="1:7" x14ac:dyDescent="0.3">
      <c r="A1423" s="1" t="s">
        <v>1784</v>
      </c>
      <c r="B1423" s="1" t="s">
        <v>1862</v>
      </c>
      <c r="C1423" s="1" t="s">
        <v>1843</v>
      </c>
      <c r="D1423" s="2" t="str">
        <f>HYPERLINK("https://inventaire.cncp.gouv.fr/fiches/2125/","2125")</f>
        <v>2125</v>
      </c>
      <c r="E1423" s="2" t="str">
        <f>HYPERLINK("http://www.intercariforef.org/formations/certification-89235.html","89235")</f>
        <v>89235</v>
      </c>
      <c r="F1423" s="3">
        <v>42522</v>
      </c>
      <c r="G1423" s="3">
        <v>43340</v>
      </c>
    </row>
    <row r="1424" spans="1:7" x14ac:dyDescent="0.3">
      <c r="A1424" s="1" t="s">
        <v>1784</v>
      </c>
      <c r="B1424" s="1" t="s">
        <v>1863</v>
      </c>
      <c r="C1424" s="1" t="s">
        <v>1815</v>
      </c>
      <c r="D1424" s="2" t="str">
        <f>HYPERLINK("https://inventaire.cncp.gouv.fr/fiches/1678/","1678")</f>
        <v>1678</v>
      </c>
      <c r="E1424" s="2" t="str">
        <f>HYPERLINK("http://www.intercariforef.org/formations/certification-93905.html","93905")</f>
        <v>93905</v>
      </c>
      <c r="F1424" s="3">
        <v>42744</v>
      </c>
      <c r="G1424" s="3">
        <v>42744</v>
      </c>
    </row>
    <row r="1425" spans="1:7" x14ac:dyDescent="0.3">
      <c r="A1425" s="1" t="s">
        <v>1784</v>
      </c>
      <c r="B1425" s="1" t="s">
        <v>1864</v>
      </c>
      <c r="C1425" s="1" t="s">
        <v>1815</v>
      </c>
      <c r="D1425" s="2" t="str">
        <f>HYPERLINK("https://inventaire.cncp.gouv.fr/fiches/2199/","2199")</f>
        <v>2199</v>
      </c>
      <c r="E1425" s="2" t="str">
        <f>HYPERLINK("http://www.intercariforef.org/formations/certification-93903.html","93903")</f>
        <v>93903</v>
      </c>
      <c r="F1425" s="3">
        <v>42744</v>
      </c>
      <c r="G1425" s="3">
        <v>42744</v>
      </c>
    </row>
    <row r="1426" spans="1:7" x14ac:dyDescent="0.3">
      <c r="A1426" s="1" t="s">
        <v>1784</v>
      </c>
      <c r="B1426" s="1" t="s">
        <v>1865</v>
      </c>
      <c r="C1426" s="1" t="s">
        <v>1815</v>
      </c>
      <c r="D1426" s="2" t="str">
        <f>HYPERLINK("https://inventaire.cncp.gouv.fr/fiches/2263/","2263")</f>
        <v>2263</v>
      </c>
      <c r="E1426" s="2" t="str">
        <f>HYPERLINK("http://www.intercariforef.org/formations/certification-93901.html","93901")</f>
        <v>93901</v>
      </c>
      <c r="F1426" s="3">
        <v>42744</v>
      </c>
      <c r="G1426" s="3">
        <v>42744</v>
      </c>
    </row>
    <row r="1427" spans="1:7" x14ac:dyDescent="0.3">
      <c r="A1427" s="1" t="s">
        <v>1784</v>
      </c>
      <c r="B1427" s="1" t="s">
        <v>1866</v>
      </c>
      <c r="C1427" s="1" t="s">
        <v>1815</v>
      </c>
      <c r="D1427" s="2" t="str">
        <f>HYPERLINK("https://inventaire.cncp.gouv.fr/fiches/2264/","2264")</f>
        <v>2264</v>
      </c>
      <c r="E1427" s="2" t="str">
        <f>HYPERLINK("http://www.intercariforef.org/formations/certification-93897.html","93897")</f>
        <v>93897</v>
      </c>
      <c r="F1427" s="3">
        <v>42744</v>
      </c>
      <c r="G1427" s="3">
        <v>42744</v>
      </c>
    </row>
    <row r="1428" spans="1:7" x14ac:dyDescent="0.3">
      <c r="A1428" s="1" t="s">
        <v>1784</v>
      </c>
      <c r="B1428" s="1" t="s">
        <v>1867</v>
      </c>
      <c r="C1428" s="1" t="s">
        <v>1815</v>
      </c>
      <c r="D1428" s="2" t="str">
        <f>HYPERLINK("https://inventaire.cncp.gouv.fr/fiches/2265/","2265")</f>
        <v>2265</v>
      </c>
      <c r="E1428" s="2" t="str">
        <f>HYPERLINK("http://www.intercariforef.org/formations/certification-93893.html","93893")</f>
        <v>93893</v>
      </c>
      <c r="F1428" s="3">
        <v>42744</v>
      </c>
      <c r="G1428" s="3">
        <v>42744</v>
      </c>
    </row>
    <row r="1429" spans="1:7" x14ac:dyDescent="0.3">
      <c r="A1429" s="1" t="s">
        <v>1784</v>
      </c>
      <c r="B1429" s="1" t="s">
        <v>1868</v>
      </c>
      <c r="C1429" s="1" t="s">
        <v>1815</v>
      </c>
      <c r="D1429" s="2" t="str">
        <f>HYPERLINK("https://inventaire.cncp.gouv.fr/fiches/2266/","2266")</f>
        <v>2266</v>
      </c>
      <c r="E1429" s="2" t="str">
        <f>HYPERLINK("http://www.intercariforef.org/formations/certification-93891.html","93891")</f>
        <v>93891</v>
      </c>
      <c r="F1429" s="3">
        <v>42744</v>
      </c>
      <c r="G1429" s="3">
        <v>42744</v>
      </c>
    </row>
    <row r="1430" spans="1:7" x14ac:dyDescent="0.3">
      <c r="A1430" s="1" t="s">
        <v>1784</v>
      </c>
      <c r="B1430" s="1" t="s">
        <v>1869</v>
      </c>
      <c r="C1430" s="1" t="s">
        <v>466</v>
      </c>
      <c r="D1430" s="2" t="str">
        <f>HYPERLINK("https://inventaire.cncp.gouv.fr/fiches/1697/","1697")</f>
        <v>1697</v>
      </c>
      <c r="E1430" s="2" t="str">
        <f>HYPERLINK("http://www.intercariforef.org/formations/certification-46907.html","46907")</f>
        <v>46907</v>
      </c>
      <c r="F1430" s="3">
        <v>33774</v>
      </c>
      <c r="G1430" s="3">
        <v>42872</v>
      </c>
    </row>
    <row r="1431" spans="1:7" x14ac:dyDescent="0.3">
      <c r="A1431" s="1" t="s">
        <v>1784</v>
      </c>
      <c r="B1431" s="1" t="s">
        <v>1870</v>
      </c>
      <c r="C1431" s="1" t="s">
        <v>466</v>
      </c>
      <c r="D1431" s="2" t="str">
        <f>HYPERLINK("https://inventaire.cncp.gouv.fr/fiches/1699/","1699")</f>
        <v>1699</v>
      </c>
      <c r="E1431" s="2" t="str">
        <f>HYPERLINK("http://www.intercariforef.org/formations/certification-76101.html","76101")</f>
        <v>76101</v>
      </c>
      <c r="F1431" s="3">
        <v>40781</v>
      </c>
      <c r="G1431" s="3">
        <v>42872</v>
      </c>
    </row>
    <row r="1432" spans="1:7" x14ac:dyDescent="0.3">
      <c r="A1432" s="1" t="s">
        <v>1784</v>
      </c>
      <c r="B1432" s="1" t="s">
        <v>1871</v>
      </c>
      <c r="C1432" s="1" t="s">
        <v>466</v>
      </c>
      <c r="D1432" s="2" t="str">
        <f>HYPERLINK("https://inventaire.cncp.gouv.fr/fiches/1696/","1696")</f>
        <v>1696</v>
      </c>
      <c r="E1432" s="2" t="str">
        <f>HYPERLINK("http://www.intercariforef.org/formations/certification-46908.html","46908")</f>
        <v>46908</v>
      </c>
      <c r="F1432" s="3">
        <v>33774</v>
      </c>
      <c r="G1432" s="3">
        <v>43242</v>
      </c>
    </row>
    <row r="1433" spans="1:7" x14ac:dyDescent="0.3">
      <c r="A1433" s="1" t="s">
        <v>1784</v>
      </c>
      <c r="B1433" s="1" t="s">
        <v>1872</v>
      </c>
      <c r="C1433" s="1" t="s">
        <v>466</v>
      </c>
      <c r="D1433" s="2" t="str">
        <f>HYPERLINK("https://inventaire.cncp.gouv.fr/fiches/1686/","1686")</f>
        <v>1686</v>
      </c>
      <c r="E1433" s="2" t="str">
        <f>HYPERLINK("http://www.intercariforef.org/formations/certification-76102.html","76102")</f>
        <v>76102</v>
      </c>
      <c r="F1433" s="3">
        <v>40781</v>
      </c>
      <c r="G1433" s="3">
        <v>42872</v>
      </c>
    </row>
    <row r="1434" spans="1:7" x14ac:dyDescent="0.3">
      <c r="A1434" s="1" t="s">
        <v>1784</v>
      </c>
      <c r="B1434" s="1" t="s">
        <v>1873</v>
      </c>
      <c r="C1434" s="1" t="s">
        <v>466</v>
      </c>
      <c r="D1434" s="2" t="str">
        <f>HYPERLINK("https://inventaire.cncp.gouv.fr/fiches/1695/","1695")</f>
        <v>1695</v>
      </c>
      <c r="E1434" s="2" t="str">
        <f>HYPERLINK("http://www.intercariforef.org/formations/certification-76105.html","76105")</f>
        <v>76105</v>
      </c>
      <c r="F1434" s="3">
        <v>40781</v>
      </c>
      <c r="G1434" s="3">
        <v>42872</v>
      </c>
    </row>
    <row r="1435" spans="1:7" x14ac:dyDescent="0.3">
      <c r="A1435" s="1" t="s">
        <v>1784</v>
      </c>
      <c r="B1435" s="1" t="s">
        <v>1874</v>
      </c>
      <c r="C1435" s="1" t="s">
        <v>466</v>
      </c>
      <c r="D1435" s="2" t="str">
        <f>HYPERLINK("https://inventaire.cncp.gouv.fr/fiches/1693/","1693")</f>
        <v>1693</v>
      </c>
      <c r="E1435" s="2" t="str">
        <f>HYPERLINK("http://www.intercariforef.org/formations/certification-76106.html","76106")</f>
        <v>76106</v>
      </c>
      <c r="F1435" s="3">
        <v>40781</v>
      </c>
      <c r="G1435" s="3">
        <v>42872</v>
      </c>
    </row>
    <row r="1436" spans="1:7" x14ac:dyDescent="0.3">
      <c r="A1436" s="1" t="s">
        <v>1784</v>
      </c>
      <c r="B1436" s="1" t="s">
        <v>1875</v>
      </c>
      <c r="C1436" s="1" t="s">
        <v>466</v>
      </c>
      <c r="D1436" s="2" t="str">
        <f>HYPERLINK("https://inventaire.cncp.gouv.fr/fiches/1692/","1692")</f>
        <v>1692</v>
      </c>
      <c r="E1436" s="2" t="str">
        <f>HYPERLINK("http://www.intercariforef.org/formations/certification-76107.html","76107")</f>
        <v>76107</v>
      </c>
      <c r="F1436" s="3">
        <v>40781</v>
      </c>
      <c r="G1436" s="3">
        <v>42872</v>
      </c>
    </row>
    <row r="1437" spans="1:7" x14ac:dyDescent="0.3">
      <c r="A1437" s="1" t="s">
        <v>1784</v>
      </c>
      <c r="B1437" s="1" t="s">
        <v>1876</v>
      </c>
      <c r="C1437" s="1" t="s">
        <v>466</v>
      </c>
      <c r="D1437" s="2" t="str">
        <f>HYPERLINK("https://inventaire.cncp.gouv.fr/fiches/1690/","1690")</f>
        <v>1690</v>
      </c>
      <c r="E1437" s="2" t="str">
        <f>HYPERLINK("http://www.intercariforef.org/formations/certification-76108.html","76108")</f>
        <v>76108</v>
      </c>
      <c r="F1437" s="3">
        <v>40781</v>
      </c>
      <c r="G1437" s="3">
        <v>42872</v>
      </c>
    </row>
    <row r="1438" spans="1:7" x14ac:dyDescent="0.3">
      <c r="A1438" s="1" t="s">
        <v>1784</v>
      </c>
      <c r="B1438" s="1" t="s">
        <v>1877</v>
      </c>
      <c r="C1438" s="1" t="s">
        <v>466</v>
      </c>
      <c r="D1438" s="2" t="str">
        <f>HYPERLINK("https://inventaire.cncp.gouv.fr/fiches/1702/","1702")</f>
        <v>1702</v>
      </c>
      <c r="E1438" s="2" t="str">
        <f>HYPERLINK("http://www.intercariforef.org/formations/certification-62926.html","62926")</f>
        <v>62926</v>
      </c>
      <c r="F1438" s="3">
        <v>38443</v>
      </c>
      <c r="G1438" s="3">
        <v>42488</v>
      </c>
    </row>
    <row r="1439" spans="1:7" x14ac:dyDescent="0.3">
      <c r="A1439" s="1" t="s">
        <v>1784</v>
      </c>
      <c r="B1439" s="1" t="s">
        <v>1878</v>
      </c>
      <c r="C1439" s="1" t="s">
        <v>1879</v>
      </c>
      <c r="D1439" s="2" t="str">
        <f>HYPERLINK("https://inventaire.cncp.gouv.fr/fiches/1521/","1521")</f>
        <v>1521</v>
      </c>
      <c r="E1439" s="2" t="str">
        <f>HYPERLINK("http://www.intercariforef.org/formations/certification-90251.html","90251")</f>
        <v>90251</v>
      </c>
      <c r="F1439" s="3">
        <v>42563</v>
      </c>
      <c r="G1439" s="3">
        <v>42563</v>
      </c>
    </row>
    <row r="1440" spans="1:7" x14ac:dyDescent="0.3">
      <c r="A1440" s="1" t="s">
        <v>1784</v>
      </c>
      <c r="B1440" s="1" t="s">
        <v>1880</v>
      </c>
      <c r="C1440" s="1" t="s">
        <v>1788</v>
      </c>
      <c r="D1440" s="2" t="str">
        <f>HYPERLINK("https://inventaire.cncp.gouv.fr/fiches/1348/","1348")</f>
        <v>1348</v>
      </c>
      <c r="E1440" s="2" t="str">
        <f>HYPERLINK("http://www.intercariforef.org/formations/certification-86217.html","86217")</f>
        <v>86217</v>
      </c>
      <c r="F1440" s="3">
        <v>42320</v>
      </c>
      <c r="G1440" s="3">
        <v>42403</v>
      </c>
    </row>
    <row r="1441" spans="1:7" x14ac:dyDescent="0.3">
      <c r="A1441" s="1" t="s">
        <v>1784</v>
      </c>
      <c r="B1441" s="1" t="s">
        <v>1881</v>
      </c>
      <c r="C1441" s="1" t="s">
        <v>1882</v>
      </c>
      <c r="D1441" s="2" t="str">
        <f>HYPERLINK("https://inventaire.cncp.gouv.fr/fiches/2774/","2774")</f>
        <v>2774</v>
      </c>
      <c r="E1441" s="2" t="str">
        <f>HYPERLINK("http://www.intercariforef.org/formations/certification-95271.html","95271")</f>
        <v>95271</v>
      </c>
      <c r="F1441" s="3">
        <v>42851</v>
      </c>
      <c r="G1441" s="3">
        <v>42851</v>
      </c>
    </row>
    <row r="1442" spans="1:7" x14ac:dyDescent="0.3">
      <c r="A1442" s="1" t="s">
        <v>1784</v>
      </c>
      <c r="B1442" s="1" t="s">
        <v>1883</v>
      </c>
      <c r="C1442" s="1" t="s">
        <v>1884</v>
      </c>
      <c r="D1442" s="2" t="str">
        <f>HYPERLINK("https://inventaire.cncp.gouv.fr/fiches/2385/","2385")</f>
        <v>2385</v>
      </c>
      <c r="E1442" s="2" t="str">
        <f>HYPERLINK("http://www.intercariforef.org/formations/certification-93931.html","93931")</f>
        <v>93931</v>
      </c>
      <c r="F1442" s="3">
        <v>42744</v>
      </c>
      <c r="G1442" s="3">
        <v>42744</v>
      </c>
    </row>
    <row r="1443" spans="1:7" ht="26.2" x14ac:dyDescent="0.3">
      <c r="A1443" s="1" t="s">
        <v>1784</v>
      </c>
      <c r="B1443" s="1" t="s">
        <v>1885</v>
      </c>
      <c r="C1443" s="1" t="s">
        <v>1886</v>
      </c>
      <c r="D1443" s="2" t="str">
        <f>HYPERLINK("https://inventaire.cncp.gouv.fr/fiches/1704/","1704")</f>
        <v>1704</v>
      </c>
      <c r="E1443" s="2" t="str">
        <f>HYPERLINK("http://www.intercariforef.org/formations/certification-88523.html","88523")</f>
        <v>88523</v>
      </c>
      <c r="F1443" s="3">
        <v>42466</v>
      </c>
      <c r="G1443" s="3">
        <v>42563</v>
      </c>
    </row>
    <row r="1444" spans="1:7" x14ac:dyDescent="0.3">
      <c r="A1444" s="1" t="s">
        <v>1784</v>
      </c>
      <c r="B1444" s="1" t="s">
        <v>1887</v>
      </c>
      <c r="C1444" s="1" t="s">
        <v>1886</v>
      </c>
      <c r="D1444" s="2" t="str">
        <f>HYPERLINK("https://inventaire.cncp.gouv.fr/fiches/1705/","1705")</f>
        <v>1705</v>
      </c>
      <c r="E1444" s="2" t="str">
        <f>HYPERLINK("http://www.intercariforef.org/formations/certification-88501.html","88501")</f>
        <v>88501</v>
      </c>
      <c r="F1444" s="3">
        <v>42465</v>
      </c>
      <c r="G1444" s="3">
        <v>42465</v>
      </c>
    </row>
    <row r="1445" spans="1:7" ht="26.2" x14ac:dyDescent="0.3">
      <c r="A1445" s="1" t="s">
        <v>1784</v>
      </c>
      <c r="B1445" s="1" t="s">
        <v>1888</v>
      </c>
      <c r="C1445" s="1" t="s">
        <v>1886</v>
      </c>
      <c r="D1445" s="2" t="str">
        <f>HYPERLINK("https://inventaire.cncp.gouv.fr/fiches/1703/","1703")</f>
        <v>1703</v>
      </c>
      <c r="E1445" s="2" t="str">
        <f>HYPERLINK("http://www.intercariforef.org/formations/certification-90245.html","90245")</f>
        <v>90245</v>
      </c>
      <c r="F1445" s="3">
        <v>42563</v>
      </c>
      <c r="G1445" s="3">
        <v>42563</v>
      </c>
    </row>
    <row r="1446" spans="1:7" x14ac:dyDescent="0.3">
      <c r="A1446" s="1" t="s">
        <v>1784</v>
      </c>
      <c r="B1446" s="1" t="s">
        <v>1889</v>
      </c>
      <c r="C1446" s="1" t="s">
        <v>1890</v>
      </c>
      <c r="D1446" s="2" t="str">
        <f>HYPERLINK("https://inventaire.cncp.gouv.fr/fiches/2114/","2114")</f>
        <v>2114</v>
      </c>
      <c r="E1446" s="2" t="str">
        <f>HYPERLINK("http://www.intercariforef.org/formations/certification-92115.html","92115")</f>
        <v>92115</v>
      </c>
      <c r="F1446" s="3">
        <v>42667</v>
      </c>
      <c r="G1446" s="3">
        <v>42667</v>
      </c>
    </row>
    <row r="1447" spans="1:7" x14ac:dyDescent="0.3">
      <c r="A1447" s="1" t="s">
        <v>1784</v>
      </c>
      <c r="B1447" s="1" t="s">
        <v>1891</v>
      </c>
      <c r="C1447" s="1" t="s">
        <v>1892</v>
      </c>
      <c r="D1447" s="2" t="str">
        <f>HYPERLINK("https://inventaire.cncp.gouv.fr/fiches/1643/","1643")</f>
        <v>1643</v>
      </c>
      <c r="E1447" s="2" t="str">
        <f>HYPERLINK("http://www.intercariforef.org/formations/certification-88119.html","88119")</f>
        <v>88119</v>
      </c>
      <c r="F1447" s="3">
        <v>42445</v>
      </c>
      <c r="G1447" s="3">
        <v>42445</v>
      </c>
    </row>
    <row r="1448" spans="1:7" x14ac:dyDescent="0.3">
      <c r="A1448" s="1" t="s">
        <v>1784</v>
      </c>
      <c r="B1448" s="1" t="s">
        <v>1893</v>
      </c>
      <c r="C1448" s="1" t="s">
        <v>1786</v>
      </c>
      <c r="D1448" s="2" t="str">
        <f>HYPERLINK("https://inventaire.cncp.gouv.fr/fiches/969/","969")</f>
        <v>969</v>
      </c>
      <c r="E1448" s="2" t="str">
        <f>HYPERLINK("http://www.intercariforef.org/formations/certification-85199.html","85199")</f>
        <v>85199</v>
      </c>
      <c r="F1448" s="3">
        <v>42205</v>
      </c>
      <c r="G1448" s="3">
        <v>42340</v>
      </c>
    </row>
    <row r="1449" spans="1:7" x14ac:dyDescent="0.3">
      <c r="A1449" s="1" t="s">
        <v>1784</v>
      </c>
      <c r="B1449" s="1" t="s">
        <v>1894</v>
      </c>
      <c r="C1449" s="1" t="s">
        <v>1786</v>
      </c>
      <c r="D1449" s="2" t="str">
        <f>HYPERLINK("https://inventaire.cncp.gouv.fr/fiches/522/","522")</f>
        <v>522</v>
      </c>
      <c r="E1449" s="2" t="str">
        <f>HYPERLINK("http://www.intercariforef.org/formations/certification-85584.html","85584")</f>
        <v>85584</v>
      </c>
      <c r="F1449" s="3">
        <v>42269</v>
      </c>
      <c r="G1449" s="3">
        <v>42979</v>
      </c>
    </row>
    <row r="1450" spans="1:7" x14ac:dyDescent="0.3">
      <c r="A1450" s="1" t="s">
        <v>1784</v>
      </c>
      <c r="B1450" s="1" t="s">
        <v>1895</v>
      </c>
      <c r="C1450" s="1" t="s">
        <v>1786</v>
      </c>
      <c r="D1450" s="2" t="str">
        <f>HYPERLINK("https://inventaire.cncp.gouv.fr/fiches/93/","93")</f>
        <v>93</v>
      </c>
      <c r="E1450" s="2" t="str">
        <f>HYPERLINK("http://www.intercariforef.org/formations/certification-84546.html","84546")</f>
        <v>84546</v>
      </c>
      <c r="F1450" s="3">
        <v>42114</v>
      </c>
      <c r="G1450" s="3">
        <v>42979</v>
      </c>
    </row>
    <row r="1451" spans="1:7" x14ac:dyDescent="0.3">
      <c r="A1451" s="1" t="s">
        <v>1784</v>
      </c>
      <c r="B1451" s="1" t="s">
        <v>1896</v>
      </c>
      <c r="C1451" s="1" t="s">
        <v>1786</v>
      </c>
      <c r="D1451" s="2" t="str">
        <f>HYPERLINK("https://inventaire.cncp.gouv.fr/fiches/542/","542")</f>
        <v>542</v>
      </c>
      <c r="E1451" s="2" t="str">
        <f>HYPERLINK("http://www.intercariforef.org/formations/certification-85577.html","85577")</f>
        <v>85577</v>
      </c>
      <c r="F1451" s="3">
        <v>42269</v>
      </c>
      <c r="G1451" s="3">
        <v>42979</v>
      </c>
    </row>
    <row r="1452" spans="1:7" x14ac:dyDescent="0.3">
      <c r="A1452" s="1" t="s">
        <v>1784</v>
      </c>
      <c r="B1452" s="1" t="s">
        <v>1897</v>
      </c>
      <c r="C1452" s="1" t="s">
        <v>1786</v>
      </c>
      <c r="D1452" s="2" t="str">
        <f>HYPERLINK("https://inventaire.cncp.gouv.fr/fiches/465/","465")</f>
        <v>465</v>
      </c>
      <c r="E1452" s="2" t="str">
        <f>HYPERLINK("http://www.intercariforef.org/formations/certification-85586.html","85586")</f>
        <v>85586</v>
      </c>
      <c r="F1452" s="3">
        <v>42269</v>
      </c>
      <c r="G1452" s="3">
        <v>42979</v>
      </c>
    </row>
    <row r="1453" spans="1:7" x14ac:dyDescent="0.3">
      <c r="A1453" s="1" t="s">
        <v>1784</v>
      </c>
      <c r="B1453" s="1" t="s">
        <v>1898</v>
      </c>
      <c r="C1453" s="1" t="s">
        <v>1786</v>
      </c>
      <c r="D1453" s="2" t="str">
        <f>HYPERLINK("https://inventaire.cncp.gouv.fr/fiches/571/","571")</f>
        <v>571</v>
      </c>
      <c r="E1453" s="2" t="str">
        <f>HYPERLINK("http://www.intercariforef.org/formations/certification-86389.html","86389")</f>
        <v>86389</v>
      </c>
      <c r="F1453" s="3">
        <v>42340</v>
      </c>
      <c r="G1453" s="3">
        <v>42340</v>
      </c>
    </row>
    <row r="1454" spans="1:7" x14ac:dyDescent="0.3">
      <c r="A1454" s="1" t="s">
        <v>1784</v>
      </c>
      <c r="B1454" s="1" t="s">
        <v>1899</v>
      </c>
      <c r="C1454" s="1" t="s">
        <v>1786</v>
      </c>
      <c r="D1454" s="2" t="str">
        <f>HYPERLINK("https://inventaire.cncp.gouv.fr/fiches/567/","567")</f>
        <v>567</v>
      </c>
      <c r="E1454" s="2" t="str">
        <f>HYPERLINK("http://www.intercariforef.org/formations/certification-86390.html","86390")</f>
        <v>86390</v>
      </c>
      <c r="F1454" s="3">
        <v>42340</v>
      </c>
      <c r="G1454" s="3">
        <v>42340</v>
      </c>
    </row>
    <row r="1455" spans="1:7" x14ac:dyDescent="0.3">
      <c r="A1455" s="1" t="s">
        <v>1784</v>
      </c>
      <c r="B1455" s="1" t="s">
        <v>1900</v>
      </c>
      <c r="C1455" s="1" t="s">
        <v>1786</v>
      </c>
      <c r="D1455" s="2" t="str">
        <f>HYPERLINK("https://inventaire.cncp.gouv.fr/fiches/525/","525")</f>
        <v>525</v>
      </c>
      <c r="E1455" s="2" t="str">
        <f>HYPERLINK("http://www.intercariforef.org/formations/certification-85582.html","85582")</f>
        <v>85582</v>
      </c>
      <c r="F1455" s="3">
        <v>42269</v>
      </c>
      <c r="G1455" s="3">
        <v>42979</v>
      </c>
    </row>
    <row r="1456" spans="1:7" x14ac:dyDescent="0.3">
      <c r="A1456" s="1" t="s">
        <v>1784</v>
      </c>
      <c r="B1456" s="1" t="s">
        <v>1901</v>
      </c>
      <c r="C1456" s="1" t="s">
        <v>1786</v>
      </c>
      <c r="D1456" s="2" t="str">
        <f>HYPERLINK("https://inventaire.cncp.gouv.fr/fiches/572/","572")</f>
        <v>572</v>
      </c>
      <c r="E1456" s="2" t="str">
        <f>HYPERLINK("http://www.intercariforef.org/formations/certification-85572.html","85572")</f>
        <v>85572</v>
      </c>
      <c r="F1456" s="3">
        <v>42269</v>
      </c>
      <c r="G1456" s="3">
        <v>42979</v>
      </c>
    </row>
    <row r="1457" spans="1:7" x14ac:dyDescent="0.3">
      <c r="A1457" s="1" t="s">
        <v>1784</v>
      </c>
      <c r="B1457" s="1" t="s">
        <v>1902</v>
      </c>
      <c r="C1457" s="1" t="s">
        <v>1786</v>
      </c>
      <c r="D1457" s="2" t="str">
        <f>HYPERLINK("https://inventaire.cncp.gouv.fr/fiches/546/","546")</f>
        <v>546</v>
      </c>
      <c r="E1457" s="2" t="str">
        <f>HYPERLINK("http://www.intercariforef.org/formations/certification-85575.html","85575")</f>
        <v>85575</v>
      </c>
      <c r="F1457" s="3">
        <v>42269</v>
      </c>
      <c r="G1457" s="3">
        <v>42979</v>
      </c>
    </row>
    <row r="1458" spans="1:7" x14ac:dyDescent="0.3">
      <c r="A1458" s="1" t="s">
        <v>1784</v>
      </c>
      <c r="B1458" s="1" t="s">
        <v>1903</v>
      </c>
      <c r="C1458" s="1" t="s">
        <v>1904</v>
      </c>
      <c r="D1458" s="2" t="str">
        <f>HYPERLINK("https://inventaire.cncp.gouv.fr/fiches/2076/","2076")</f>
        <v>2076</v>
      </c>
      <c r="E1458" s="2" t="str">
        <f>HYPERLINK("http://www.intercariforef.org/formations/certification-89249.html","89249")</f>
        <v>89249</v>
      </c>
      <c r="F1458" s="3">
        <v>42522</v>
      </c>
      <c r="G1458" s="3">
        <v>42522</v>
      </c>
    </row>
    <row r="1459" spans="1:7" x14ac:dyDescent="0.3">
      <c r="A1459" s="1" t="s">
        <v>1784</v>
      </c>
      <c r="B1459" s="1" t="s">
        <v>1905</v>
      </c>
      <c r="C1459" s="1" t="s">
        <v>1904</v>
      </c>
      <c r="D1459" s="2" t="str">
        <f>HYPERLINK("https://inventaire.cncp.gouv.fr/fiches/2080/","2080")</f>
        <v>2080</v>
      </c>
      <c r="E1459" s="2" t="str">
        <f>HYPERLINK("http://www.intercariforef.org/formations/certification-89247.html","89247")</f>
        <v>89247</v>
      </c>
      <c r="F1459" s="3">
        <v>42522</v>
      </c>
      <c r="G1459" s="3">
        <v>42522</v>
      </c>
    </row>
    <row r="1460" spans="1:7" x14ac:dyDescent="0.3">
      <c r="A1460" s="1" t="s">
        <v>1784</v>
      </c>
      <c r="B1460" s="1" t="s">
        <v>1906</v>
      </c>
      <c r="C1460" s="1" t="s">
        <v>1886</v>
      </c>
      <c r="D1460" s="2" t="str">
        <f>HYPERLINK("https://inventaire.cncp.gouv.fr/fiches/1644/","1644")</f>
        <v>1644</v>
      </c>
      <c r="E1460" s="2" t="str">
        <f>HYPERLINK("http://www.intercariforef.org/formations/certification-90249.html","90249")</f>
        <v>90249</v>
      </c>
      <c r="F1460" s="3">
        <v>42563</v>
      </c>
      <c r="G1460" s="3">
        <v>42563</v>
      </c>
    </row>
    <row r="1461" spans="1:7" x14ac:dyDescent="0.3">
      <c r="A1461" s="1" t="s">
        <v>1784</v>
      </c>
      <c r="B1461" s="1" t="s">
        <v>1907</v>
      </c>
      <c r="C1461" s="1" t="s">
        <v>1886</v>
      </c>
      <c r="D1461" s="2" t="str">
        <f>HYPERLINK("https://inventaire.cncp.gouv.fr/fiches/1831/","1831")</f>
        <v>1831</v>
      </c>
      <c r="E1461" s="2" t="str">
        <f>HYPERLINK("http://www.intercariforef.org/formations/certification-90241.html","90241")</f>
        <v>90241</v>
      </c>
      <c r="F1461" s="3">
        <v>42563</v>
      </c>
      <c r="G1461" s="3">
        <v>42563</v>
      </c>
    </row>
    <row r="1462" spans="1:7" x14ac:dyDescent="0.3">
      <c r="A1462" s="1" t="s">
        <v>1784</v>
      </c>
      <c r="B1462" s="1" t="s">
        <v>1908</v>
      </c>
      <c r="C1462" s="1" t="s">
        <v>1886</v>
      </c>
      <c r="D1462" s="2" t="str">
        <f>HYPERLINK("https://inventaire.cncp.gouv.fr/fiches/1646/","1646")</f>
        <v>1646</v>
      </c>
      <c r="E1462" s="2" t="str">
        <f>HYPERLINK("http://www.intercariforef.org/formations/certification-90247.html","90247")</f>
        <v>90247</v>
      </c>
      <c r="F1462" s="3">
        <v>42563</v>
      </c>
      <c r="G1462" s="3">
        <v>42563</v>
      </c>
    </row>
    <row r="1463" spans="1:7" x14ac:dyDescent="0.3">
      <c r="A1463" s="1" t="s">
        <v>1784</v>
      </c>
      <c r="B1463" s="1" t="s">
        <v>1909</v>
      </c>
      <c r="C1463" s="1" t="s">
        <v>1910</v>
      </c>
      <c r="D1463" s="2" t="str">
        <f>HYPERLINK("https://inventaire.cncp.gouv.fr/fiches/3643/","3643")</f>
        <v>3643</v>
      </c>
      <c r="E1463" s="2" t="str">
        <f>HYPERLINK("http://www.intercariforef.org/formations/certification-104163.html","104163")</f>
        <v>104163</v>
      </c>
      <c r="F1463" s="3">
        <v>43398</v>
      </c>
      <c r="G1463" s="3">
        <v>43398</v>
      </c>
    </row>
    <row r="1464" spans="1:7" x14ac:dyDescent="0.3">
      <c r="A1464" s="1" t="s">
        <v>1784</v>
      </c>
      <c r="B1464" s="1" t="s">
        <v>1911</v>
      </c>
      <c r="C1464" s="1" t="s">
        <v>1843</v>
      </c>
      <c r="D1464" s="2" t="str">
        <f>HYPERLINK("https://inventaire.cncp.gouv.fr/fiches/319/","319")</f>
        <v>319</v>
      </c>
      <c r="E1464" s="2" t="str">
        <f>HYPERLINK("http://www.intercariforef.org/formations/certification-84854.html","84854")</f>
        <v>84854</v>
      </c>
      <c r="F1464" s="3">
        <v>42177</v>
      </c>
      <c r="G1464" s="3">
        <v>42177</v>
      </c>
    </row>
    <row r="1465" spans="1:7" ht="26.2" x14ac:dyDescent="0.3">
      <c r="A1465" s="1" t="s">
        <v>1784</v>
      </c>
      <c r="B1465" s="1" t="s">
        <v>1912</v>
      </c>
      <c r="C1465" s="1" t="s">
        <v>1913</v>
      </c>
      <c r="D1465" s="2" t="str">
        <f>HYPERLINK("https://inventaire.cncp.gouv.fr/fiches/2289/","2289")</f>
        <v>2289</v>
      </c>
      <c r="E1465" s="2" t="str">
        <f>HYPERLINK("http://www.intercariforef.org/formations/certification-94027.html","94027")</f>
        <v>94027</v>
      </c>
      <c r="F1465" s="3">
        <v>42747</v>
      </c>
      <c r="G1465" s="3">
        <v>43384</v>
      </c>
    </row>
    <row r="1466" spans="1:7" x14ac:dyDescent="0.3">
      <c r="A1466" s="1" t="s">
        <v>1784</v>
      </c>
      <c r="B1466" s="1" t="s">
        <v>1914</v>
      </c>
      <c r="C1466" s="1" t="s">
        <v>1915</v>
      </c>
      <c r="D1466" s="2" t="str">
        <f>HYPERLINK("https://inventaire.cncp.gouv.fr/fiches/3453/","3453")</f>
        <v>3453</v>
      </c>
      <c r="E1466" s="2" t="str">
        <f>HYPERLINK("http://www.intercariforef.org/formations/certification-84167.html","84167")</f>
        <v>84167</v>
      </c>
      <c r="F1466" s="3">
        <v>42053</v>
      </c>
      <c r="G1466" s="3">
        <v>43117</v>
      </c>
    </row>
    <row r="1467" spans="1:7" x14ac:dyDescent="0.3">
      <c r="A1467" s="1" t="s">
        <v>1784</v>
      </c>
      <c r="B1467" s="1" t="s">
        <v>1916</v>
      </c>
      <c r="C1467" s="1" t="s">
        <v>1917</v>
      </c>
      <c r="D1467" s="2" t="str">
        <f>HYPERLINK("https://inventaire.cncp.gouv.fr/fiches/2566/","2566")</f>
        <v>2566</v>
      </c>
      <c r="E1467" s="2" t="str">
        <f>HYPERLINK("http://www.intercariforef.org/formations/certification-93775.html","93775")</f>
        <v>93775</v>
      </c>
      <c r="F1467" s="3">
        <v>42725</v>
      </c>
      <c r="G1467" s="3">
        <v>42895</v>
      </c>
    </row>
    <row r="1468" spans="1:7" x14ac:dyDescent="0.3">
      <c r="A1468" s="1" t="s">
        <v>1784</v>
      </c>
      <c r="B1468" s="1" t="s">
        <v>1918</v>
      </c>
      <c r="C1468" s="1" t="s">
        <v>1915</v>
      </c>
      <c r="D1468" s="2" t="str">
        <f>HYPERLINK("https://inventaire.cncp.gouv.fr/fiches/3130/","3130")</f>
        <v>3130</v>
      </c>
      <c r="E1468" s="2" t="str">
        <f>HYPERLINK("http://www.intercariforef.org/formations/certification-84168.html","84168")</f>
        <v>84168</v>
      </c>
      <c r="F1468" s="3">
        <v>42053</v>
      </c>
      <c r="G1468" s="3">
        <v>42990</v>
      </c>
    </row>
    <row r="1469" spans="1:7" ht="26.2" x14ac:dyDescent="0.3">
      <c r="A1469" s="1" t="s">
        <v>1919</v>
      </c>
      <c r="B1469" s="1" t="s">
        <v>1920</v>
      </c>
      <c r="C1469" s="1" t="s">
        <v>323</v>
      </c>
      <c r="D1469" s="4" t="s">
        <v>536</v>
      </c>
      <c r="E1469" s="2" t="str">
        <f>HYPERLINK("http://www.intercariforef.org/formations/certification-55810.html","55810")</f>
        <v>55810</v>
      </c>
      <c r="F1469" s="3">
        <v>39254</v>
      </c>
      <c r="G1469" s="3">
        <v>42718</v>
      </c>
    </row>
    <row r="1470" spans="1:7" ht="39.299999999999997" x14ac:dyDescent="0.3">
      <c r="A1470" s="1" t="s">
        <v>1919</v>
      </c>
      <c r="B1470" s="1" t="s">
        <v>1921</v>
      </c>
      <c r="C1470" s="1" t="s">
        <v>323</v>
      </c>
      <c r="D1470" s="4" t="s">
        <v>536</v>
      </c>
      <c r="E1470" s="2" t="str">
        <f>HYPERLINK("http://www.intercariforef.org/formations/certification-55804.html","55804")</f>
        <v>55804</v>
      </c>
      <c r="F1470" s="3">
        <v>39254</v>
      </c>
      <c r="G1470" s="3">
        <v>42718</v>
      </c>
    </row>
    <row r="1471" spans="1:7" ht="26.2" x14ac:dyDescent="0.3">
      <c r="A1471" s="1" t="s">
        <v>1919</v>
      </c>
      <c r="B1471" s="1" t="s">
        <v>1922</v>
      </c>
      <c r="C1471" s="1" t="s">
        <v>323</v>
      </c>
      <c r="D1471" s="4" t="s">
        <v>536</v>
      </c>
      <c r="E1471" s="2" t="str">
        <f>HYPERLINK("http://www.intercariforef.org/formations/certification-55811.html","55811")</f>
        <v>55811</v>
      </c>
      <c r="F1471" s="3">
        <v>39254</v>
      </c>
      <c r="G1471" s="3">
        <v>42718</v>
      </c>
    </row>
    <row r="1472" spans="1:7" ht="26.2" x14ac:dyDescent="0.3">
      <c r="A1472" s="1" t="s">
        <v>1919</v>
      </c>
      <c r="B1472" s="1" t="s">
        <v>1923</v>
      </c>
      <c r="C1472" s="1" t="s">
        <v>323</v>
      </c>
      <c r="D1472" s="4" t="s">
        <v>536</v>
      </c>
      <c r="E1472" s="2" t="str">
        <f>HYPERLINK("http://www.intercariforef.org/formations/certification-55807.html","55807")</f>
        <v>55807</v>
      </c>
      <c r="F1472" s="3">
        <v>39254</v>
      </c>
      <c r="G1472" s="3">
        <v>42718</v>
      </c>
    </row>
    <row r="1473" spans="1:7" ht="26.2" x14ac:dyDescent="0.3">
      <c r="A1473" s="1" t="s">
        <v>1919</v>
      </c>
      <c r="B1473" s="1" t="s">
        <v>1924</v>
      </c>
      <c r="C1473" s="1" t="s">
        <v>323</v>
      </c>
      <c r="D1473" s="4" t="s">
        <v>536</v>
      </c>
      <c r="E1473" s="2" t="str">
        <f>HYPERLINK("http://www.intercariforef.org/formations/certification-55809.html","55809")</f>
        <v>55809</v>
      </c>
      <c r="F1473" s="3">
        <v>39254</v>
      </c>
      <c r="G1473" s="3">
        <v>42718</v>
      </c>
    </row>
    <row r="1474" spans="1:7" ht="26.2" x14ac:dyDescent="0.3">
      <c r="A1474" s="1" t="s">
        <v>1919</v>
      </c>
      <c r="B1474" s="1" t="s">
        <v>1925</v>
      </c>
      <c r="C1474" s="1" t="s">
        <v>323</v>
      </c>
      <c r="D1474" s="4" t="s">
        <v>536</v>
      </c>
      <c r="E1474" s="2" t="str">
        <f>HYPERLINK("http://www.intercariforef.org/formations/certification-55803.html","55803")</f>
        <v>55803</v>
      </c>
      <c r="F1474" s="3">
        <v>39254</v>
      </c>
      <c r="G1474" s="3">
        <v>42718</v>
      </c>
    </row>
    <row r="1475" spans="1:7" ht="26.2" x14ac:dyDescent="0.3">
      <c r="A1475" s="1" t="s">
        <v>1919</v>
      </c>
      <c r="B1475" s="1" t="s">
        <v>1926</v>
      </c>
      <c r="C1475" s="1" t="s">
        <v>323</v>
      </c>
      <c r="D1475" s="4" t="s">
        <v>536</v>
      </c>
      <c r="E1475" s="2" t="str">
        <f>HYPERLINK("http://www.intercariforef.org/formations/certification-55808.html","55808")</f>
        <v>55808</v>
      </c>
      <c r="F1475" s="3">
        <v>39254</v>
      </c>
      <c r="G1475" s="3">
        <v>42718</v>
      </c>
    </row>
    <row r="1476" spans="1:7" ht="26.2" x14ac:dyDescent="0.3">
      <c r="A1476" s="1" t="s">
        <v>1919</v>
      </c>
      <c r="B1476" s="1" t="s">
        <v>1927</v>
      </c>
      <c r="C1476" s="1" t="s">
        <v>323</v>
      </c>
      <c r="D1476" s="4" t="s">
        <v>536</v>
      </c>
      <c r="E1476" s="2" t="str">
        <f>HYPERLINK("http://www.intercariforef.org/formations/certification-55812.html","55812")</f>
        <v>55812</v>
      </c>
      <c r="F1476" s="3">
        <v>39254</v>
      </c>
      <c r="G1476" s="3">
        <v>42718</v>
      </c>
    </row>
    <row r="1477" spans="1:7" ht="26.2" x14ac:dyDescent="0.3">
      <c r="A1477" s="1" t="s">
        <v>1919</v>
      </c>
      <c r="B1477" s="1" t="s">
        <v>1928</v>
      </c>
      <c r="C1477" s="1" t="s">
        <v>323</v>
      </c>
      <c r="D1477" s="4" t="s">
        <v>536</v>
      </c>
      <c r="E1477" s="2" t="str">
        <f>HYPERLINK("http://www.intercariforef.org/formations/certification-55806.html","55806")</f>
        <v>55806</v>
      </c>
      <c r="F1477" s="3">
        <v>39254</v>
      </c>
      <c r="G1477" s="3">
        <v>42718</v>
      </c>
    </row>
    <row r="1478" spans="1:7" ht="26.2" x14ac:dyDescent="0.3">
      <c r="A1478" s="1" t="s">
        <v>1919</v>
      </c>
      <c r="B1478" s="1" t="s">
        <v>1929</v>
      </c>
      <c r="C1478" s="1" t="s">
        <v>323</v>
      </c>
      <c r="D1478" s="4" t="s">
        <v>536</v>
      </c>
      <c r="E1478" s="2" t="str">
        <f>HYPERLINK("http://www.intercariforef.org/formations/certification-55805.html","55805")</f>
        <v>55805</v>
      </c>
      <c r="F1478" s="3">
        <v>39254</v>
      </c>
      <c r="G1478" s="3">
        <v>42718</v>
      </c>
    </row>
    <row r="1479" spans="1:7" ht="26.2" x14ac:dyDescent="0.3">
      <c r="A1479" s="1" t="s">
        <v>1919</v>
      </c>
      <c r="B1479" s="1" t="s">
        <v>1930</v>
      </c>
      <c r="C1479" s="1" t="s">
        <v>323</v>
      </c>
      <c r="D1479" s="4" t="s">
        <v>536</v>
      </c>
      <c r="E1479" s="2" t="str">
        <f>HYPERLINK("http://www.intercariforef.org/formations/certification-55814.html","55814")</f>
        <v>55814</v>
      </c>
      <c r="F1479" s="3">
        <v>39300</v>
      </c>
      <c r="G1479" s="3">
        <v>42718</v>
      </c>
    </row>
    <row r="1480" spans="1:7" ht="26.2" x14ac:dyDescent="0.3">
      <c r="A1480" s="1" t="s">
        <v>1919</v>
      </c>
      <c r="B1480" s="1" t="s">
        <v>1931</v>
      </c>
      <c r="C1480" s="1" t="s">
        <v>323</v>
      </c>
      <c r="D1480" s="4" t="s">
        <v>536</v>
      </c>
      <c r="E1480" s="2" t="str">
        <f>HYPERLINK("http://www.intercariforef.org/formations/certification-55813.html","55813")</f>
        <v>55813</v>
      </c>
      <c r="F1480" s="3">
        <v>39300</v>
      </c>
      <c r="G1480" s="3">
        <v>42718</v>
      </c>
    </row>
    <row r="1481" spans="1:7" ht="26.2" x14ac:dyDescent="0.3">
      <c r="A1481" s="1" t="s">
        <v>1919</v>
      </c>
      <c r="B1481" s="1" t="s">
        <v>1932</v>
      </c>
      <c r="C1481" s="1" t="s">
        <v>323</v>
      </c>
      <c r="D1481" s="4" t="s">
        <v>536</v>
      </c>
      <c r="E1481" s="2" t="str">
        <f>HYPERLINK("http://www.intercariforef.org/formations/certification-55817.html","55817")</f>
        <v>55817</v>
      </c>
      <c r="F1481" s="3">
        <v>39300</v>
      </c>
      <c r="G1481" s="3">
        <v>42718</v>
      </c>
    </row>
    <row r="1482" spans="1:7" ht="26.2" x14ac:dyDescent="0.3">
      <c r="A1482" s="1" t="s">
        <v>1919</v>
      </c>
      <c r="B1482" s="1" t="s">
        <v>1933</v>
      </c>
      <c r="C1482" s="1" t="s">
        <v>323</v>
      </c>
      <c r="D1482" s="4" t="s">
        <v>536</v>
      </c>
      <c r="E1482" s="2" t="str">
        <f>HYPERLINK("http://www.intercariforef.org/formations/certification-55816.html","55816")</f>
        <v>55816</v>
      </c>
      <c r="F1482" s="3">
        <v>39300</v>
      </c>
      <c r="G1482" s="3">
        <v>42718</v>
      </c>
    </row>
    <row r="1483" spans="1:7" ht="26.2" x14ac:dyDescent="0.3">
      <c r="A1483" s="1" t="s">
        <v>1919</v>
      </c>
      <c r="B1483" s="1" t="s">
        <v>1934</v>
      </c>
      <c r="C1483" s="1" t="s">
        <v>323</v>
      </c>
      <c r="D1483" s="4" t="s">
        <v>536</v>
      </c>
      <c r="E1483" s="2" t="str">
        <f>HYPERLINK("http://www.intercariforef.org/formations/certification-85338.html","85338")</f>
        <v>85338</v>
      </c>
      <c r="F1483" s="3">
        <v>42242</v>
      </c>
      <c r="G1483" s="3">
        <v>42718</v>
      </c>
    </row>
    <row r="1484" spans="1:7" ht="26.2" x14ac:dyDescent="0.3">
      <c r="A1484" s="1" t="s">
        <v>1919</v>
      </c>
      <c r="B1484" s="1" t="s">
        <v>1935</v>
      </c>
      <c r="C1484" s="1" t="s">
        <v>323</v>
      </c>
      <c r="D1484" s="4" t="s">
        <v>536</v>
      </c>
      <c r="E1484" s="2" t="str">
        <f>HYPERLINK("http://www.intercariforef.org/formations/certification-55819.html","55819")</f>
        <v>55819</v>
      </c>
      <c r="F1484" s="3">
        <v>39300</v>
      </c>
      <c r="G1484" s="3">
        <v>42718</v>
      </c>
    </row>
    <row r="1485" spans="1:7" ht="26.2" x14ac:dyDescent="0.3">
      <c r="A1485" s="1" t="s">
        <v>1919</v>
      </c>
      <c r="B1485" s="1" t="s">
        <v>1936</v>
      </c>
      <c r="C1485" s="1" t="s">
        <v>323</v>
      </c>
      <c r="D1485" s="4" t="s">
        <v>536</v>
      </c>
      <c r="E1485" s="2" t="str">
        <f>HYPERLINK("http://www.intercariforef.org/formations/certification-55815.html","55815")</f>
        <v>55815</v>
      </c>
      <c r="F1485" s="3">
        <v>39300</v>
      </c>
      <c r="G1485" s="3">
        <v>42718</v>
      </c>
    </row>
    <row r="1486" spans="1:7" ht="26.2" x14ac:dyDescent="0.3">
      <c r="A1486" s="1" t="s">
        <v>1919</v>
      </c>
      <c r="B1486" s="1" t="s">
        <v>1937</v>
      </c>
      <c r="C1486" s="1" t="s">
        <v>323</v>
      </c>
      <c r="D1486" s="4" t="s">
        <v>536</v>
      </c>
      <c r="E1486" s="2" t="str">
        <f>HYPERLINK("http://www.intercariforef.org/formations/certification-55818.html","55818")</f>
        <v>55818</v>
      </c>
      <c r="F1486" s="3">
        <v>39300</v>
      </c>
      <c r="G1486" s="3">
        <v>42718</v>
      </c>
    </row>
    <row r="1487" spans="1:7" ht="26.2" x14ac:dyDescent="0.3">
      <c r="A1487" s="1" t="s">
        <v>1919</v>
      </c>
      <c r="B1487" s="1" t="s">
        <v>1938</v>
      </c>
      <c r="C1487" s="1" t="s">
        <v>323</v>
      </c>
      <c r="D1487" s="4" t="s">
        <v>536</v>
      </c>
      <c r="E1487" s="2" t="str">
        <f>HYPERLINK("http://www.intercariforef.org/formations/certification-55820.html","55820")</f>
        <v>55820</v>
      </c>
      <c r="F1487" s="3">
        <v>39300</v>
      </c>
      <c r="G1487" s="3">
        <v>42718</v>
      </c>
    </row>
    <row r="1488" spans="1:7" ht="39.299999999999997" x14ac:dyDescent="0.3">
      <c r="A1488" s="1" t="s">
        <v>1919</v>
      </c>
      <c r="B1488" s="1" t="s">
        <v>1939</v>
      </c>
      <c r="C1488" s="1" t="s">
        <v>323</v>
      </c>
      <c r="D1488" s="4" t="s">
        <v>536</v>
      </c>
      <c r="E1488" s="2" t="str">
        <f>HYPERLINK("http://www.intercariforef.org/formations/certification-55822.html","55822")</f>
        <v>55822</v>
      </c>
      <c r="F1488" s="3">
        <v>39300</v>
      </c>
      <c r="G1488" s="3">
        <v>42718</v>
      </c>
    </row>
    <row r="1489" spans="1:7" ht="39.299999999999997" x14ac:dyDescent="0.3">
      <c r="A1489" s="1" t="s">
        <v>1919</v>
      </c>
      <c r="B1489" s="1" t="s">
        <v>1940</v>
      </c>
      <c r="C1489" s="1" t="s">
        <v>323</v>
      </c>
      <c r="D1489" s="4" t="s">
        <v>536</v>
      </c>
      <c r="E1489" s="2" t="str">
        <f>HYPERLINK("http://www.intercariforef.org/formations/certification-55825.html","55825")</f>
        <v>55825</v>
      </c>
      <c r="F1489" s="3">
        <v>39300</v>
      </c>
      <c r="G1489" s="3">
        <v>42718</v>
      </c>
    </row>
    <row r="1490" spans="1:7" ht="39.299999999999997" x14ac:dyDescent="0.3">
      <c r="A1490" s="1" t="s">
        <v>1919</v>
      </c>
      <c r="B1490" s="1" t="s">
        <v>1941</v>
      </c>
      <c r="C1490" s="1" t="s">
        <v>323</v>
      </c>
      <c r="D1490" s="4" t="s">
        <v>536</v>
      </c>
      <c r="E1490" s="2" t="str">
        <f>HYPERLINK("http://www.intercariforef.org/formations/certification-55823.html","55823")</f>
        <v>55823</v>
      </c>
      <c r="F1490" s="3">
        <v>39300</v>
      </c>
      <c r="G1490" s="3">
        <v>42718</v>
      </c>
    </row>
    <row r="1491" spans="1:7" ht="39.299999999999997" x14ac:dyDescent="0.3">
      <c r="A1491" s="1" t="s">
        <v>1919</v>
      </c>
      <c r="B1491" s="1" t="s">
        <v>1942</v>
      </c>
      <c r="C1491" s="1" t="s">
        <v>323</v>
      </c>
      <c r="D1491" s="4" t="s">
        <v>536</v>
      </c>
      <c r="E1491" s="2" t="str">
        <f>HYPERLINK("http://www.intercariforef.org/formations/certification-55821.html","55821")</f>
        <v>55821</v>
      </c>
      <c r="F1491" s="3">
        <v>39300</v>
      </c>
      <c r="G1491" s="3">
        <v>42718</v>
      </c>
    </row>
    <row r="1492" spans="1:7" ht="39.299999999999997" x14ac:dyDescent="0.3">
      <c r="A1492" s="1" t="s">
        <v>1919</v>
      </c>
      <c r="B1492" s="1" t="s">
        <v>1943</v>
      </c>
      <c r="C1492" s="1" t="s">
        <v>323</v>
      </c>
      <c r="D1492" s="4" t="s">
        <v>536</v>
      </c>
      <c r="E1492" s="2" t="str">
        <f>HYPERLINK("http://www.intercariforef.org/formations/certification-55824.html","55824")</f>
        <v>55824</v>
      </c>
      <c r="F1492" s="3">
        <v>39300</v>
      </c>
      <c r="G1492" s="3">
        <v>42718</v>
      </c>
    </row>
    <row r="1493" spans="1:7" ht="39.299999999999997" x14ac:dyDescent="0.3">
      <c r="A1493" s="1" t="s">
        <v>1919</v>
      </c>
      <c r="B1493" s="1" t="s">
        <v>1944</v>
      </c>
      <c r="C1493" s="1" t="s">
        <v>323</v>
      </c>
      <c r="D1493" s="4" t="s">
        <v>536</v>
      </c>
      <c r="E1493" s="2" t="str">
        <f>HYPERLINK("http://www.intercariforef.org/formations/certification-55676.html","55676")</f>
        <v>55676</v>
      </c>
      <c r="F1493" s="3">
        <v>39300</v>
      </c>
      <c r="G1493" s="3">
        <v>42718</v>
      </c>
    </row>
    <row r="1494" spans="1:7" ht="39.299999999999997" x14ac:dyDescent="0.3">
      <c r="A1494" s="1" t="s">
        <v>1919</v>
      </c>
      <c r="B1494" s="1" t="s">
        <v>1945</v>
      </c>
      <c r="C1494" s="1" t="s">
        <v>323</v>
      </c>
      <c r="D1494" s="4" t="s">
        <v>536</v>
      </c>
      <c r="E1494" s="2" t="str">
        <f>HYPERLINK("http://www.intercariforef.org/formations/certification-55677.html","55677")</f>
        <v>55677</v>
      </c>
      <c r="F1494" s="3">
        <v>39300</v>
      </c>
      <c r="G1494" s="3">
        <v>42718</v>
      </c>
    </row>
    <row r="1495" spans="1:7" ht="39.299999999999997" x14ac:dyDescent="0.3">
      <c r="A1495" s="1" t="s">
        <v>1919</v>
      </c>
      <c r="B1495" s="1" t="s">
        <v>1946</v>
      </c>
      <c r="C1495" s="1" t="s">
        <v>323</v>
      </c>
      <c r="D1495" s="4" t="s">
        <v>536</v>
      </c>
      <c r="E1495" s="2" t="str">
        <f>HYPERLINK("http://www.intercariforef.org/formations/certification-55675.html","55675")</f>
        <v>55675</v>
      </c>
      <c r="F1495" s="3">
        <v>39300</v>
      </c>
      <c r="G1495" s="3">
        <v>42718</v>
      </c>
    </row>
    <row r="1496" spans="1:7" ht="26.2" x14ac:dyDescent="0.3">
      <c r="A1496" s="1" t="s">
        <v>1919</v>
      </c>
      <c r="B1496" s="1" t="s">
        <v>1947</v>
      </c>
      <c r="C1496" s="1" t="s">
        <v>323</v>
      </c>
      <c r="D1496" s="4" t="s">
        <v>536</v>
      </c>
      <c r="E1496" s="2" t="str">
        <f>HYPERLINK("http://www.intercariforef.org/formations/certification-55673.html","55673")</f>
        <v>55673</v>
      </c>
      <c r="F1496" s="3">
        <v>39300</v>
      </c>
      <c r="G1496" s="3">
        <v>42718</v>
      </c>
    </row>
    <row r="1497" spans="1:7" ht="26.2" x14ac:dyDescent="0.3">
      <c r="A1497" s="1" t="s">
        <v>1919</v>
      </c>
      <c r="B1497" s="1" t="s">
        <v>1948</v>
      </c>
      <c r="C1497" s="1" t="s">
        <v>323</v>
      </c>
      <c r="D1497" s="4" t="s">
        <v>536</v>
      </c>
      <c r="E1497" s="2" t="str">
        <f>HYPERLINK("http://www.intercariforef.org/formations/certification-55827.html","55827")</f>
        <v>55827</v>
      </c>
      <c r="F1497" s="3">
        <v>39300</v>
      </c>
      <c r="G1497" s="3">
        <v>42718</v>
      </c>
    </row>
    <row r="1498" spans="1:7" ht="39.299999999999997" x14ac:dyDescent="0.3">
      <c r="A1498" s="1" t="s">
        <v>1919</v>
      </c>
      <c r="B1498" s="1" t="s">
        <v>1949</v>
      </c>
      <c r="C1498" s="1" t="s">
        <v>323</v>
      </c>
      <c r="D1498" s="4" t="s">
        <v>536</v>
      </c>
      <c r="E1498" s="2" t="str">
        <f>HYPERLINK("http://www.intercariforef.org/formations/certification-55674.html","55674")</f>
        <v>55674</v>
      </c>
      <c r="F1498" s="3">
        <v>39300</v>
      </c>
      <c r="G1498" s="3">
        <v>42718</v>
      </c>
    </row>
    <row r="1499" spans="1:7" x14ac:dyDescent="0.3">
      <c r="A1499" s="1" t="s">
        <v>1919</v>
      </c>
      <c r="B1499" s="1" t="s">
        <v>1950</v>
      </c>
      <c r="C1499" s="1" t="s">
        <v>323</v>
      </c>
      <c r="D1499" s="4" t="s">
        <v>536</v>
      </c>
      <c r="E1499" s="2" t="str">
        <f>HYPERLINK("http://www.intercariforef.org/formations/certification-84700.html","84700")</f>
        <v>84700</v>
      </c>
      <c r="F1499" s="3">
        <v>42156</v>
      </c>
      <c r="G1499" s="3">
        <v>42718</v>
      </c>
    </row>
    <row r="1500" spans="1:7" ht="26.2" x14ac:dyDescent="0.3">
      <c r="A1500" s="1" t="s">
        <v>1919</v>
      </c>
      <c r="B1500" s="1" t="s">
        <v>1951</v>
      </c>
      <c r="C1500" s="1" t="s">
        <v>323</v>
      </c>
      <c r="D1500" s="4" t="s">
        <v>536</v>
      </c>
      <c r="E1500" s="2" t="str">
        <f>HYPERLINK("http://www.intercariforef.org/formations/certification-55826.html","55826")</f>
        <v>55826</v>
      </c>
      <c r="F1500" s="3">
        <v>39301</v>
      </c>
      <c r="G1500" s="3">
        <v>42718</v>
      </c>
    </row>
    <row r="1501" spans="1:7" ht="26.2" x14ac:dyDescent="0.3">
      <c r="A1501" s="1" t="s">
        <v>1919</v>
      </c>
      <c r="B1501" s="1" t="s">
        <v>1952</v>
      </c>
      <c r="C1501" s="1" t="s">
        <v>1741</v>
      </c>
      <c r="D1501" s="2" t="str">
        <f>HYPERLINK("https://inventaire.cncp.gouv.fr/fiches/2646/","2646")</f>
        <v>2646</v>
      </c>
      <c r="E1501" s="2" t="str">
        <f>HYPERLINK("http://www.intercariforef.org/formations/certification-95263.html","95263")</f>
        <v>95263</v>
      </c>
      <c r="F1501" s="3">
        <v>42851</v>
      </c>
      <c r="G1501" s="3">
        <v>42851</v>
      </c>
    </row>
    <row r="1502" spans="1:7" x14ac:dyDescent="0.3">
      <c r="A1502" s="1" t="s">
        <v>1919</v>
      </c>
      <c r="B1502" s="1" t="s">
        <v>1953</v>
      </c>
      <c r="C1502" s="1" t="s">
        <v>323</v>
      </c>
      <c r="D1502" s="4" t="s">
        <v>536</v>
      </c>
      <c r="E1502" s="2" t="str">
        <f>HYPERLINK("http://www.intercariforef.org/formations/certification-85312.html","85312")</f>
        <v>85312</v>
      </c>
      <c r="F1502" s="3">
        <v>42240</v>
      </c>
      <c r="G1502" s="3">
        <v>42718</v>
      </c>
    </row>
    <row r="1503" spans="1:7" x14ac:dyDescent="0.3">
      <c r="A1503" s="1" t="s">
        <v>1919</v>
      </c>
      <c r="B1503" s="1" t="s">
        <v>1954</v>
      </c>
      <c r="C1503" s="1" t="s">
        <v>323</v>
      </c>
      <c r="D1503" s="4" t="s">
        <v>536</v>
      </c>
      <c r="E1503" s="2" t="str">
        <f>HYPERLINK("http://www.intercariforef.org/formations/certification-84175.html","84175")</f>
        <v>84175</v>
      </c>
      <c r="F1503" s="3">
        <v>42058</v>
      </c>
      <c r="G1503" s="3">
        <v>42718</v>
      </c>
    </row>
    <row r="1504" spans="1:7" x14ac:dyDescent="0.3">
      <c r="A1504" s="1" t="s">
        <v>1955</v>
      </c>
      <c r="B1504" s="1" t="s">
        <v>1956</v>
      </c>
      <c r="C1504" s="1" t="s">
        <v>359</v>
      </c>
      <c r="D1504" s="2" t="str">
        <f>HYPERLINK("https://inventaire.cncp.gouv.fr/fiches/3084/","3084")</f>
        <v>3084</v>
      </c>
      <c r="E1504" s="2" t="str">
        <f>HYPERLINK("http://www.intercariforef.org/formations/certification-98507.html","98507")</f>
        <v>98507</v>
      </c>
      <c r="F1504" s="3">
        <v>43033</v>
      </c>
      <c r="G1504" s="3">
        <v>43033</v>
      </c>
    </row>
    <row r="1505" spans="1:7" ht="26.2" x14ac:dyDescent="0.3">
      <c r="A1505" s="1" t="s">
        <v>1955</v>
      </c>
      <c r="B1505" s="1" t="s">
        <v>1957</v>
      </c>
      <c r="C1505" s="1" t="s">
        <v>359</v>
      </c>
      <c r="D1505" s="2" t="str">
        <f>HYPERLINK("https://inventaire.cncp.gouv.fr/fiches/2423/","2423")</f>
        <v>2423</v>
      </c>
      <c r="E1505" s="2" t="str">
        <f>HYPERLINK("http://www.intercariforef.org/formations/certification-93923.html","93923")</f>
        <v>93923</v>
      </c>
      <c r="F1505" s="3">
        <v>42744</v>
      </c>
      <c r="G1505" s="3">
        <v>42744</v>
      </c>
    </row>
    <row r="1506" spans="1:7" ht="26.2" x14ac:dyDescent="0.3">
      <c r="A1506" s="1" t="s">
        <v>1955</v>
      </c>
      <c r="B1506" s="1" t="s">
        <v>1958</v>
      </c>
      <c r="C1506" s="1" t="s">
        <v>359</v>
      </c>
      <c r="D1506" s="2" t="str">
        <f>HYPERLINK("https://inventaire.cncp.gouv.fr/fiches/3189/","3189")</f>
        <v>3189</v>
      </c>
      <c r="E1506" s="2" t="str">
        <f>HYPERLINK("http://www.intercariforef.org/formations/certification-98503.html","98503")</f>
        <v>98503</v>
      </c>
      <c r="F1506" s="3">
        <v>43033</v>
      </c>
      <c r="G1506" s="3">
        <v>43033</v>
      </c>
    </row>
    <row r="1507" spans="1:7" x14ac:dyDescent="0.3">
      <c r="A1507" s="1" t="s">
        <v>1955</v>
      </c>
      <c r="B1507" s="1" t="s">
        <v>1959</v>
      </c>
      <c r="C1507" s="1" t="s">
        <v>1960</v>
      </c>
      <c r="D1507" s="2" t="str">
        <f>HYPERLINK("https://inventaire.cncp.gouv.fr/fiches/474/","474")</f>
        <v>474</v>
      </c>
      <c r="E1507" s="2" t="str">
        <f>HYPERLINK("http://www.intercariforef.org/formations/certification-84604.html","84604")</f>
        <v>84604</v>
      </c>
      <c r="F1507" s="3">
        <v>42142</v>
      </c>
      <c r="G1507" s="3">
        <v>42979</v>
      </c>
    </row>
    <row r="1508" spans="1:7" x14ac:dyDescent="0.3">
      <c r="A1508" s="1" t="s">
        <v>1955</v>
      </c>
      <c r="B1508" s="1" t="s">
        <v>1961</v>
      </c>
      <c r="C1508" s="1" t="s">
        <v>1962</v>
      </c>
      <c r="D1508" s="2" t="str">
        <f>HYPERLINK("https://inventaire.cncp.gouv.fr/fiches/2600/","2600")</f>
        <v>2600</v>
      </c>
      <c r="E1508" s="2" t="str">
        <f>HYPERLINK("http://www.intercariforef.org/formations/certification-101221.html","101221")</f>
        <v>101221</v>
      </c>
      <c r="F1508" s="3">
        <v>43251</v>
      </c>
      <c r="G1508" s="3">
        <v>43251</v>
      </c>
    </row>
    <row r="1509" spans="1:7" x14ac:dyDescent="0.3">
      <c r="A1509" s="1" t="s">
        <v>1955</v>
      </c>
      <c r="B1509" s="1" t="s">
        <v>1963</v>
      </c>
      <c r="C1509" s="1" t="s">
        <v>1962</v>
      </c>
      <c r="D1509" s="2" t="str">
        <f>HYPERLINK("https://inventaire.cncp.gouv.fr/fiches/2597/","2597")</f>
        <v>2597</v>
      </c>
      <c r="E1509" s="2" t="str">
        <f>HYPERLINK("http://www.intercariforef.org/formations/certification-101225.html","101225")</f>
        <v>101225</v>
      </c>
      <c r="F1509" s="3">
        <v>43251</v>
      </c>
      <c r="G1509" s="3">
        <v>43251</v>
      </c>
    </row>
    <row r="1510" spans="1:7" x14ac:dyDescent="0.3">
      <c r="A1510" s="1" t="s">
        <v>1955</v>
      </c>
      <c r="B1510" s="1" t="s">
        <v>1964</v>
      </c>
      <c r="C1510" s="1" t="s">
        <v>1962</v>
      </c>
      <c r="D1510" s="2" t="str">
        <f>HYPERLINK("https://inventaire.cncp.gouv.fr/fiches/2599/","2599")</f>
        <v>2599</v>
      </c>
      <c r="E1510" s="2" t="str">
        <f>HYPERLINK("http://www.intercariforef.org/formations/certification-101223.html","101223")</f>
        <v>101223</v>
      </c>
      <c r="F1510" s="3">
        <v>43251</v>
      </c>
      <c r="G1510" s="3">
        <v>43251</v>
      </c>
    </row>
    <row r="1511" spans="1:7" x14ac:dyDescent="0.3">
      <c r="A1511" s="1" t="s">
        <v>1955</v>
      </c>
      <c r="B1511" s="1" t="s">
        <v>1965</v>
      </c>
      <c r="C1511" s="1" t="s">
        <v>1962</v>
      </c>
      <c r="D1511" s="2" t="str">
        <f>HYPERLINK("https://inventaire.cncp.gouv.fr/fiches/3710/","3710")</f>
        <v>3710</v>
      </c>
      <c r="E1511" s="2" t="str">
        <f>HYPERLINK("http://www.intercariforef.org/formations/certification-101141.html","101141")</f>
        <v>101141</v>
      </c>
      <c r="F1511" s="3">
        <v>43250</v>
      </c>
      <c r="G1511" s="3">
        <v>43250</v>
      </c>
    </row>
    <row r="1512" spans="1:7" x14ac:dyDescent="0.3">
      <c r="A1512" s="1" t="s">
        <v>1955</v>
      </c>
      <c r="B1512" s="1" t="s">
        <v>1966</v>
      </c>
      <c r="C1512" s="1" t="s">
        <v>1962</v>
      </c>
      <c r="D1512" s="2" t="str">
        <f>HYPERLINK("https://inventaire.cncp.gouv.fr/fiches/3964/","3964")</f>
        <v>3964</v>
      </c>
      <c r="E1512" s="2" t="str">
        <f>HYPERLINK("http://www.intercariforef.org/formations/certification-104099.html","104099")</f>
        <v>104099</v>
      </c>
      <c r="F1512" s="3">
        <v>43398</v>
      </c>
      <c r="G1512" s="3">
        <v>43398</v>
      </c>
    </row>
    <row r="1513" spans="1:7" x14ac:dyDescent="0.3">
      <c r="A1513" s="1" t="s">
        <v>1955</v>
      </c>
      <c r="B1513" s="1" t="s">
        <v>1967</v>
      </c>
      <c r="C1513" s="1" t="s">
        <v>1962</v>
      </c>
      <c r="D1513" s="2" t="str">
        <f>HYPERLINK("https://inventaire.cncp.gouv.fr/fiches/3965/","3965")</f>
        <v>3965</v>
      </c>
      <c r="E1513" s="2" t="str">
        <f>HYPERLINK("http://www.intercariforef.org/formations/certification-104097.html","104097")</f>
        <v>104097</v>
      </c>
      <c r="F1513" s="3">
        <v>43398</v>
      </c>
      <c r="G1513" s="3">
        <v>43398</v>
      </c>
    </row>
    <row r="1514" spans="1:7" x14ac:dyDescent="0.3">
      <c r="A1514" s="1" t="s">
        <v>1955</v>
      </c>
      <c r="B1514" s="1" t="s">
        <v>1968</v>
      </c>
      <c r="C1514" s="1" t="s">
        <v>1962</v>
      </c>
      <c r="D1514" s="2" t="str">
        <f>HYPERLINK("https://inventaire.cncp.gouv.fr/fiches/2596/","2596")</f>
        <v>2596</v>
      </c>
      <c r="E1514" s="2" t="str">
        <f>HYPERLINK("http://www.intercariforef.org/formations/certification-101227.html","101227")</f>
        <v>101227</v>
      </c>
      <c r="F1514" s="3">
        <v>43251</v>
      </c>
      <c r="G1514" s="3">
        <v>43251</v>
      </c>
    </row>
    <row r="1515" spans="1:7" ht="26.2" x14ac:dyDescent="0.3">
      <c r="A1515" s="1" t="s">
        <v>1955</v>
      </c>
      <c r="B1515" s="1" t="s">
        <v>1969</v>
      </c>
      <c r="C1515" s="1" t="s">
        <v>1970</v>
      </c>
      <c r="D1515" s="2" t="str">
        <f>HYPERLINK("https://inventaire.cncp.gouv.fr/fiches/1256/","1256")</f>
        <v>1256</v>
      </c>
      <c r="E1515" s="2" t="str">
        <f>HYPERLINK("http://www.intercariforef.org/formations/certification-86472.html","86472")</f>
        <v>86472</v>
      </c>
      <c r="F1515" s="3">
        <v>42342</v>
      </c>
      <c r="G1515" s="3">
        <v>42342</v>
      </c>
    </row>
    <row r="1516" spans="1:7" ht="39.299999999999997" x14ac:dyDescent="0.3">
      <c r="A1516" s="1" t="s">
        <v>1955</v>
      </c>
      <c r="B1516" s="1" t="s">
        <v>1971</v>
      </c>
      <c r="C1516" s="1" t="s">
        <v>1970</v>
      </c>
      <c r="D1516" s="2" t="str">
        <f>HYPERLINK("https://inventaire.cncp.gouv.fr/fiches/1257/","1257")</f>
        <v>1257</v>
      </c>
      <c r="E1516" s="2" t="str">
        <f>HYPERLINK("http://www.intercariforef.org/formations/certification-86446.html","86446")</f>
        <v>86446</v>
      </c>
      <c r="F1516" s="3">
        <v>42341</v>
      </c>
      <c r="G1516" s="3">
        <v>42342</v>
      </c>
    </row>
    <row r="1517" spans="1:7" x14ac:dyDescent="0.3">
      <c r="A1517" s="1" t="s">
        <v>1972</v>
      </c>
      <c r="B1517" s="1" t="s">
        <v>1973</v>
      </c>
      <c r="C1517" s="1" t="s">
        <v>411</v>
      </c>
      <c r="D1517" s="2" t="str">
        <f>HYPERLINK("https://inventaire.cncp.gouv.fr/fiches/693/","693")</f>
        <v>693</v>
      </c>
      <c r="E1517" s="2" t="str">
        <f>HYPERLINK("http://www.intercariforef.org/formations/certification-84973.html","84973")</f>
        <v>84973</v>
      </c>
      <c r="F1517" s="3">
        <v>42178</v>
      </c>
      <c r="G1517" s="3">
        <v>42718</v>
      </c>
    </row>
    <row r="1518" spans="1:7" ht="26.2" x14ac:dyDescent="0.3">
      <c r="A1518" s="1" t="s">
        <v>1972</v>
      </c>
      <c r="B1518" s="1" t="s">
        <v>1974</v>
      </c>
      <c r="C1518" s="1" t="s">
        <v>1445</v>
      </c>
      <c r="D1518" s="2" t="str">
        <f>HYPERLINK("https://inventaire.cncp.gouv.fr/fiches/2788/","2788")</f>
        <v>2788</v>
      </c>
      <c r="E1518" s="2" t="str">
        <f>HYPERLINK("http://www.intercariforef.org/formations/certification-95629.html","95629")</f>
        <v>95629</v>
      </c>
      <c r="F1518" s="3">
        <v>42893</v>
      </c>
      <c r="G1518" s="3">
        <v>42893</v>
      </c>
    </row>
    <row r="1519" spans="1:7" x14ac:dyDescent="0.3">
      <c r="A1519" s="1" t="s">
        <v>1972</v>
      </c>
      <c r="B1519" s="1" t="s">
        <v>1975</v>
      </c>
      <c r="C1519" s="1" t="s">
        <v>411</v>
      </c>
      <c r="D1519" s="2" t="str">
        <f>HYPERLINK("https://inventaire.cncp.gouv.fr/fiches/1031/","1031")</f>
        <v>1031</v>
      </c>
      <c r="E1519" s="2" t="str">
        <f>HYPERLINK("http://www.intercariforef.org/formations/certification-85009.html","85009")</f>
        <v>85009</v>
      </c>
      <c r="F1519" s="3">
        <v>42184</v>
      </c>
      <c r="G1519" s="3">
        <v>42184</v>
      </c>
    </row>
    <row r="1520" spans="1:7" x14ac:dyDescent="0.3">
      <c r="A1520" s="1" t="s">
        <v>1972</v>
      </c>
      <c r="B1520" s="1" t="s">
        <v>1976</v>
      </c>
      <c r="C1520" s="1" t="s">
        <v>1977</v>
      </c>
      <c r="D1520" s="2" t="str">
        <f>HYPERLINK("https://inventaire.cncp.gouv.fr/fiches/3231/","3231")</f>
        <v>3231</v>
      </c>
      <c r="E1520" s="2" t="str">
        <f>HYPERLINK("http://www.intercariforef.org/formations/certification-102445.html","102445")</f>
        <v>102445</v>
      </c>
      <c r="F1520" s="3">
        <v>43298</v>
      </c>
      <c r="G1520" s="3">
        <v>43298</v>
      </c>
    </row>
    <row r="1521" spans="1:7" x14ac:dyDescent="0.3">
      <c r="A1521" s="1" t="s">
        <v>1978</v>
      </c>
      <c r="B1521" s="1" t="s">
        <v>1979</v>
      </c>
      <c r="C1521" s="1" t="s">
        <v>1980</v>
      </c>
      <c r="D1521" s="2" t="str">
        <f>HYPERLINK("https://inventaire.cncp.gouv.fr/fiches/2763/","2763")</f>
        <v>2763</v>
      </c>
      <c r="E1521" s="2" t="str">
        <f>HYPERLINK("http://www.intercariforef.org/formations/certification-94801.html","94801")</f>
        <v>94801</v>
      </c>
      <c r="F1521" s="3">
        <v>42836</v>
      </c>
      <c r="G1521" s="3">
        <v>42836</v>
      </c>
    </row>
    <row r="1522" spans="1:7" x14ac:dyDescent="0.3">
      <c r="A1522" s="1" t="s">
        <v>1978</v>
      </c>
      <c r="B1522" s="1" t="s">
        <v>1981</v>
      </c>
      <c r="C1522" s="1" t="s">
        <v>1982</v>
      </c>
      <c r="D1522" s="2" t="str">
        <f>HYPERLINK("https://inventaire.cncp.gouv.fr/fiches/1946/","1946")</f>
        <v>1946</v>
      </c>
      <c r="E1522" s="2" t="str">
        <f>HYPERLINK("http://www.intercariforef.org/formations/certification-88605.html","88605")</f>
        <v>88605</v>
      </c>
      <c r="F1522" s="3">
        <v>42482</v>
      </c>
      <c r="G1522" s="3">
        <v>42482</v>
      </c>
    </row>
    <row r="1523" spans="1:7" x14ac:dyDescent="0.3">
      <c r="A1523" s="1" t="s">
        <v>1978</v>
      </c>
      <c r="B1523" s="1" t="s">
        <v>1983</v>
      </c>
      <c r="C1523" s="1" t="s">
        <v>1984</v>
      </c>
      <c r="D1523" s="2" t="str">
        <f>HYPERLINK("https://inventaire.cncp.gouv.fr/fiches/2252/","2252")</f>
        <v>2252</v>
      </c>
      <c r="E1523" s="2" t="str">
        <f>HYPERLINK("http://www.intercariforef.org/formations/certification-89967.html","89967")</f>
        <v>89967</v>
      </c>
      <c r="F1523" s="3">
        <v>42557</v>
      </c>
      <c r="G1523" s="3">
        <v>42557</v>
      </c>
    </row>
    <row r="1524" spans="1:7" x14ac:dyDescent="0.3">
      <c r="A1524" s="1" t="s">
        <v>1978</v>
      </c>
      <c r="B1524" s="1" t="s">
        <v>1985</v>
      </c>
      <c r="C1524" s="1" t="s">
        <v>1984</v>
      </c>
      <c r="D1524" s="2" t="str">
        <f>HYPERLINK("https://inventaire.cncp.gouv.fr/fiches/2253/","2253")</f>
        <v>2253</v>
      </c>
      <c r="E1524" s="2" t="str">
        <f>HYPERLINK("http://www.intercariforef.org/formations/certification-89961.html","89961")</f>
        <v>89961</v>
      </c>
      <c r="F1524" s="3">
        <v>42557</v>
      </c>
      <c r="G1524" s="3">
        <v>42557</v>
      </c>
    </row>
    <row r="1525" spans="1:7" x14ac:dyDescent="0.3">
      <c r="A1525" s="1" t="s">
        <v>1978</v>
      </c>
      <c r="B1525" s="1" t="s">
        <v>1986</v>
      </c>
      <c r="C1525" s="1" t="s">
        <v>1984</v>
      </c>
      <c r="D1525" s="2" t="str">
        <f>HYPERLINK("https://inventaire.cncp.gouv.fr/fiches/2251/","2251")</f>
        <v>2251</v>
      </c>
      <c r="E1525" s="2" t="str">
        <f>HYPERLINK("http://www.intercariforef.org/formations/certification-89969.html","89969")</f>
        <v>89969</v>
      </c>
      <c r="F1525" s="3">
        <v>42557</v>
      </c>
      <c r="G1525" s="3">
        <v>42557</v>
      </c>
    </row>
    <row r="1526" spans="1:7" x14ac:dyDescent="0.3">
      <c r="A1526" s="1" t="s">
        <v>1978</v>
      </c>
      <c r="B1526" s="1" t="s">
        <v>1987</v>
      </c>
      <c r="C1526" s="1" t="s">
        <v>1980</v>
      </c>
      <c r="D1526" s="2" t="str">
        <f>HYPERLINK("https://inventaire.cncp.gouv.fr/fiches/2767/","2767")</f>
        <v>2767</v>
      </c>
      <c r="E1526" s="2" t="str">
        <f>HYPERLINK("http://www.intercariforef.org/formations/certification-94791.html","94791")</f>
        <v>94791</v>
      </c>
      <c r="F1526" s="3">
        <v>42836</v>
      </c>
      <c r="G1526" s="3">
        <v>42979</v>
      </c>
    </row>
    <row r="1527" spans="1:7" x14ac:dyDescent="0.3">
      <c r="A1527" s="1" t="s">
        <v>1978</v>
      </c>
      <c r="B1527" s="1" t="s">
        <v>1988</v>
      </c>
      <c r="C1527" s="1" t="s">
        <v>1980</v>
      </c>
      <c r="D1527" s="2" t="str">
        <f>HYPERLINK("https://inventaire.cncp.gouv.fr/fiches/2764/","2764")</f>
        <v>2764</v>
      </c>
      <c r="E1527" s="2" t="str">
        <f>HYPERLINK("http://www.intercariforef.org/formations/certification-94797.html","94797")</f>
        <v>94797</v>
      </c>
      <c r="F1527" s="3">
        <v>42836</v>
      </c>
      <c r="G1527" s="3">
        <v>42836</v>
      </c>
    </row>
    <row r="1528" spans="1:7" x14ac:dyDescent="0.3">
      <c r="A1528" s="1" t="s">
        <v>1978</v>
      </c>
      <c r="B1528" s="1" t="s">
        <v>1989</v>
      </c>
      <c r="C1528" s="1" t="s">
        <v>1980</v>
      </c>
      <c r="D1528" s="2" t="str">
        <f>HYPERLINK("https://inventaire.cncp.gouv.fr/fiches/2762/","2762")</f>
        <v>2762</v>
      </c>
      <c r="E1528" s="2" t="str">
        <f>HYPERLINK("http://www.intercariforef.org/formations/certification-94805.html","94805")</f>
        <v>94805</v>
      </c>
      <c r="F1528" s="3">
        <v>42836</v>
      </c>
      <c r="G1528" s="3">
        <v>42836</v>
      </c>
    </row>
    <row r="1529" spans="1:7" x14ac:dyDescent="0.3">
      <c r="A1529" s="1" t="s">
        <v>1978</v>
      </c>
      <c r="B1529" s="1" t="s">
        <v>1990</v>
      </c>
      <c r="C1529" s="1" t="s">
        <v>1440</v>
      </c>
      <c r="D1529" s="2" t="str">
        <f>HYPERLINK("https://inventaire.cncp.gouv.fr/fiches/2612/","2612")</f>
        <v>2612</v>
      </c>
      <c r="E1529" s="2" t="str">
        <f>HYPERLINK("http://www.intercariforef.org/formations/certification-100627.html","100627")</f>
        <v>100627</v>
      </c>
      <c r="F1529" s="3">
        <v>43193</v>
      </c>
      <c r="G1529" s="3">
        <v>43193</v>
      </c>
    </row>
    <row r="1530" spans="1:7" x14ac:dyDescent="0.3">
      <c r="A1530" s="1" t="s">
        <v>1978</v>
      </c>
      <c r="B1530" s="1" t="s">
        <v>1991</v>
      </c>
      <c r="C1530" s="1" t="s">
        <v>70</v>
      </c>
      <c r="D1530" s="2" t="str">
        <f>HYPERLINK("https://inventaire.cncp.gouv.fr/fiches/2015/","2015")</f>
        <v>2015</v>
      </c>
      <c r="E1530" s="2" t="str">
        <f>HYPERLINK("http://www.intercariforef.org/formations/certification-88671.html","88671")</f>
        <v>88671</v>
      </c>
      <c r="F1530" s="3">
        <v>42487</v>
      </c>
      <c r="G1530" s="3">
        <v>43111</v>
      </c>
    </row>
    <row r="1531" spans="1:7" x14ac:dyDescent="0.3">
      <c r="A1531" s="1" t="s">
        <v>1978</v>
      </c>
      <c r="B1531" s="1" t="s">
        <v>1992</v>
      </c>
      <c r="C1531" s="1" t="s">
        <v>70</v>
      </c>
      <c r="D1531" s="2" t="str">
        <f>HYPERLINK("https://inventaire.cncp.gouv.fr/fiches/2018/","2018")</f>
        <v>2018</v>
      </c>
      <c r="E1531" s="2" t="str">
        <f>HYPERLINK("http://www.intercariforef.org/formations/certification-88673.html","88673")</f>
        <v>88673</v>
      </c>
      <c r="F1531" s="3">
        <v>42487</v>
      </c>
      <c r="G1531" s="3">
        <v>43111</v>
      </c>
    </row>
    <row r="1532" spans="1:7" x14ac:dyDescent="0.3">
      <c r="A1532" s="1" t="s">
        <v>1978</v>
      </c>
      <c r="B1532" s="1" t="s">
        <v>1993</v>
      </c>
      <c r="C1532" s="1" t="s">
        <v>70</v>
      </c>
      <c r="D1532" s="2" t="str">
        <f>HYPERLINK("https://inventaire.cncp.gouv.fr/fiches/2019/","2019")</f>
        <v>2019</v>
      </c>
      <c r="E1532" s="2" t="str">
        <f>HYPERLINK("http://www.intercariforef.org/formations/certification-88665.html","88665")</f>
        <v>88665</v>
      </c>
      <c r="F1532" s="3">
        <v>42487</v>
      </c>
      <c r="G1532" s="3">
        <v>43111</v>
      </c>
    </row>
    <row r="1533" spans="1:7" x14ac:dyDescent="0.3">
      <c r="A1533" s="1" t="s">
        <v>1978</v>
      </c>
      <c r="B1533" s="1" t="s">
        <v>1994</v>
      </c>
      <c r="C1533" s="1" t="s">
        <v>70</v>
      </c>
      <c r="D1533" s="2" t="str">
        <f>HYPERLINK("https://inventaire.cncp.gouv.fr/fiches/2021/","2021")</f>
        <v>2021</v>
      </c>
      <c r="E1533" s="2" t="str">
        <f>HYPERLINK("http://www.intercariforef.org/formations/certification-88663.html","88663")</f>
        <v>88663</v>
      </c>
      <c r="F1533" s="3">
        <v>42487</v>
      </c>
      <c r="G1533" s="3">
        <v>43111</v>
      </c>
    </row>
    <row r="1534" spans="1:7" x14ac:dyDescent="0.3">
      <c r="A1534" s="1" t="s">
        <v>1978</v>
      </c>
      <c r="B1534" s="1" t="s">
        <v>1995</v>
      </c>
      <c r="C1534" s="1" t="s">
        <v>70</v>
      </c>
      <c r="D1534" s="2" t="str">
        <f>HYPERLINK("https://inventaire.cncp.gouv.fr/fiches/694/","694")</f>
        <v>694</v>
      </c>
      <c r="E1534" s="2" t="str">
        <f>HYPERLINK("http://www.intercariforef.org/formations/certification-84731.html","84731")</f>
        <v>84731</v>
      </c>
      <c r="F1534" s="3">
        <v>42156</v>
      </c>
      <c r="G1534" s="3">
        <v>43111</v>
      </c>
    </row>
    <row r="1535" spans="1:7" x14ac:dyDescent="0.3">
      <c r="A1535" s="1" t="s">
        <v>1978</v>
      </c>
      <c r="B1535" s="1" t="s">
        <v>1996</v>
      </c>
      <c r="C1535" s="1" t="s">
        <v>70</v>
      </c>
      <c r="D1535" s="2" t="str">
        <f>HYPERLINK("https://inventaire.cncp.gouv.fr/fiches/699/","699")</f>
        <v>699</v>
      </c>
      <c r="E1535" s="2" t="str">
        <f>HYPERLINK("http://www.intercariforef.org/formations/certification-84727.html","84727")</f>
        <v>84727</v>
      </c>
      <c r="F1535" s="3">
        <v>42156</v>
      </c>
      <c r="G1535" s="3">
        <v>43111</v>
      </c>
    </row>
    <row r="1536" spans="1:7" x14ac:dyDescent="0.3">
      <c r="A1536" s="1" t="s">
        <v>1978</v>
      </c>
      <c r="B1536" s="1" t="s">
        <v>1997</v>
      </c>
      <c r="C1536" s="1" t="s">
        <v>70</v>
      </c>
      <c r="D1536" s="2" t="str">
        <f>HYPERLINK("https://inventaire.cncp.gouv.fr/fiches/704/","704")</f>
        <v>704</v>
      </c>
      <c r="E1536" s="2" t="str">
        <f>HYPERLINK("http://www.intercariforef.org/formations/certification-84730.html","84730")</f>
        <v>84730</v>
      </c>
      <c r="F1536" s="3">
        <v>42156</v>
      </c>
      <c r="G1536" s="3">
        <v>43111</v>
      </c>
    </row>
    <row r="1537" spans="1:7" x14ac:dyDescent="0.3">
      <c r="A1537" s="1" t="s">
        <v>1978</v>
      </c>
      <c r="B1537" s="1" t="s">
        <v>1998</v>
      </c>
      <c r="C1537" s="1" t="s">
        <v>70</v>
      </c>
      <c r="D1537" s="2" t="str">
        <f>HYPERLINK("https://inventaire.cncp.gouv.fr/fiches/702/","702")</f>
        <v>702</v>
      </c>
      <c r="E1537" s="2" t="str">
        <f>HYPERLINK("http://www.intercariforef.org/formations/certification-84729.html","84729")</f>
        <v>84729</v>
      </c>
      <c r="F1537" s="3">
        <v>42156</v>
      </c>
      <c r="G1537" s="3">
        <v>43111</v>
      </c>
    </row>
    <row r="1538" spans="1:7" x14ac:dyDescent="0.3">
      <c r="A1538" s="1" t="s">
        <v>1978</v>
      </c>
      <c r="B1538" s="1" t="s">
        <v>1999</v>
      </c>
      <c r="C1538" s="1" t="s">
        <v>70</v>
      </c>
      <c r="D1538" s="2" t="str">
        <f>HYPERLINK("https://inventaire.cncp.gouv.fr/fiches/2023/","2023")</f>
        <v>2023</v>
      </c>
      <c r="E1538" s="2" t="str">
        <f>HYPERLINK("http://www.intercariforef.org/formations/certification-88667.html","88667")</f>
        <v>88667</v>
      </c>
      <c r="F1538" s="3">
        <v>42487</v>
      </c>
      <c r="G1538" s="3">
        <v>43111</v>
      </c>
    </row>
    <row r="1539" spans="1:7" x14ac:dyDescent="0.3">
      <c r="A1539" s="1" t="s">
        <v>1978</v>
      </c>
      <c r="B1539" s="1" t="s">
        <v>2000</v>
      </c>
      <c r="C1539" s="1" t="s">
        <v>70</v>
      </c>
      <c r="D1539" s="2" t="str">
        <f>HYPERLINK("https://inventaire.cncp.gouv.fr/fiches/2022/","2022")</f>
        <v>2022</v>
      </c>
      <c r="E1539" s="2" t="str">
        <f>HYPERLINK("http://www.intercariforef.org/formations/certification-88669.html","88669")</f>
        <v>88669</v>
      </c>
      <c r="F1539" s="3">
        <v>42487</v>
      </c>
      <c r="G1539" s="3">
        <v>43111</v>
      </c>
    </row>
    <row r="1540" spans="1:7" x14ac:dyDescent="0.3">
      <c r="A1540" s="1" t="s">
        <v>1978</v>
      </c>
      <c r="B1540" s="1" t="s">
        <v>2001</v>
      </c>
      <c r="C1540" s="1" t="s">
        <v>2002</v>
      </c>
      <c r="D1540" s="2" t="str">
        <f>HYPERLINK("https://inventaire.cncp.gouv.fr/fiches/2215/","2215")</f>
        <v>2215</v>
      </c>
      <c r="E1540" s="2" t="str">
        <f>HYPERLINK("http://www.intercariforef.org/formations/certification-91895.html","91895")</f>
        <v>91895</v>
      </c>
      <c r="F1540" s="3">
        <v>42662</v>
      </c>
      <c r="G1540" s="3">
        <v>42662</v>
      </c>
    </row>
    <row r="1541" spans="1:7" x14ac:dyDescent="0.3">
      <c r="A1541" s="1" t="s">
        <v>1978</v>
      </c>
      <c r="B1541" s="1" t="s">
        <v>2003</v>
      </c>
      <c r="C1541" s="1" t="s">
        <v>524</v>
      </c>
      <c r="D1541" s="2" t="str">
        <f>HYPERLINK("https://inventaire.cncp.gouv.fr/fiches/2883/","2883")</f>
        <v>2883</v>
      </c>
      <c r="E1541" s="2" t="str">
        <f>HYPERLINK("http://www.intercariforef.org/formations/certification-99243.html","99243")</f>
        <v>99243</v>
      </c>
      <c r="F1541" s="3">
        <v>43080</v>
      </c>
      <c r="G1541" s="3">
        <v>43080</v>
      </c>
    </row>
    <row r="1542" spans="1:7" x14ac:dyDescent="0.3">
      <c r="A1542" s="1" t="s">
        <v>1978</v>
      </c>
      <c r="B1542" s="1" t="s">
        <v>2004</v>
      </c>
      <c r="C1542" s="1" t="s">
        <v>524</v>
      </c>
      <c r="D1542" s="2" t="str">
        <f>HYPERLINK("https://inventaire.cncp.gouv.fr/fiches/2884/","2884")</f>
        <v>2884</v>
      </c>
      <c r="E1542" s="2" t="str">
        <f>HYPERLINK("http://www.intercariforef.org/formations/certification-99245.html","99245")</f>
        <v>99245</v>
      </c>
      <c r="F1542" s="3">
        <v>43080</v>
      </c>
      <c r="G1542" s="3">
        <v>43080</v>
      </c>
    </row>
    <row r="1543" spans="1:7" x14ac:dyDescent="0.3">
      <c r="A1543" s="1" t="s">
        <v>1978</v>
      </c>
      <c r="B1543" s="1" t="s">
        <v>2005</v>
      </c>
      <c r="C1543" s="1" t="s">
        <v>1980</v>
      </c>
      <c r="D1543" s="2" t="str">
        <f>HYPERLINK("https://inventaire.cncp.gouv.fr/fiches/2765/","2765")</f>
        <v>2765</v>
      </c>
      <c r="E1543" s="2" t="str">
        <f>HYPERLINK("http://www.intercariforef.org/formations/certification-94795.html","94795")</f>
        <v>94795</v>
      </c>
      <c r="F1543" s="3">
        <v>42836</v>
      </c>
      <c r="G1543" s="3">
        <v>42836</v>
      </c>
    </row>
    <row r="1544" spans="1:7" x14ac:dyDescent="0.3">
      <c r="A1544" s="1" t="s">
        <v>1978</v>
      </c>
      <c r="B1544" s="1" t="s">
        <v>2006</v>
      </c>
      <c r="C1544" s="1" t="s">
        <v>2007</v>
      </c>
      <c r="D1544" s="2" t="str">
        <f>HYPERLINK("https://inventaire.cncp.gouv.fr/fiches/1142/","1142")</f>
        <v>1142</v>
      </c>
      <c r="E1544" s="2" t="str">
        <f>HYPERLINK("http://www.intercariforef.org/formations/certification-85624.html","85624")</f>
        <v>85624</v>
      </c>
      <c r="F1544" s="3">
        <v>42269</v>
      </c>
      <c r="G1544" s="3">
        <v>43111</v>
      </c>
    </row>
    <row r="1545" spans="1:7" ht="26.2" x14ac:dyDescent="0.3">
      <c r="A1545" s="1" t="s">
        <v>1978</v>
      </c>
      <c r="B1545" s="1" t="s">
        <v>2008</v>
      </c>
      <c r="C1545" s="1" t="s">
        <v>2007</v>
      </c>
      <c r="D1545" s="2" t="str">
        <f>HYPERLINK("https://inventaire.cncp.gouv.fr/fiches/1144/","1144")</f>
        <v>1144</v>
      </c>
      <c r="E1545" s="2" t="str">
        <f>HYPERLINK("http://www.intercariforef.org/formations/certification-85626.html","85626")</f>
        <v>85626</v>
      </c>
      <c r="F1545" s="3">
        <v>42269</v>
      </c>
      <c r="G1545" s="3">
        <v>43111</v>
      </c>
    </row>
    <row r="1546" spans="1:7" ht="26.2" x14ac:dyDescent="0.3">
      <c r="A1546" s="1" t="s">
        <v>1978</v>
      </c>
      <c r="B1546" s="1" t="s">
        <v>2009</v>
      </c>
      <c r="C1546" s="1" t="s">
        <v>2007</v>
      </c>
      <c r="D1546" s="2" t="str">
        <f>HYPERLINK("https://inventaire.cncp.gouv.fr/fiches/1145/","1145")</f>
        <v>1145</v>
      </c>
      <c r="E1546" s="2" t="str">
        <f>HYPERLINK("http://www.intercariforef.org/formations/certification-85627.html","85627")</f>
        <v>85627</v>
      </c>
      <c r="F1546" s="3">
        <v>42269</v>
      </c>
      <c r="G1546" s="3">
        <v>43111</v>
      </c>
    </row>
    <row r="1547" spans="1:7" ht="26.2" x14ac:dyDescent="0.3">
      <c r="A1547" s="1" t="s">
        <v>1978</v>
      </c>
      <c r="B1547" s="1" t="s">
        <v>2010</v>
      </c>
      <c r="C1547" s="1" t="s">
        <v>2007</v>
      </c>
      <c r="D1547" s="2" t="str">
        <f>HYPERLINK("https://inventaire.cncp.gouv.fr/fiches/1146/","1146")</f>
        <v>1146</v>
      </c>
      <c r="E1547" s="2" t="str">
        <f>HYPERLINK("http://www.intercariforef.org/formations/certification-85628.html","85628")</f>
        <v>85628</v>
      </c>
      <c r="F1547" s="3">
        <v>42269</v>
      </c>
      <c r="G1547" s="3">
        <v>43111</v>
      </c>
    </row>
    <row r="1548" spans="1:7" ht="26.2" x14ac:dyDescent="0.3">
      <c r="A1548" s="1" t="s">
        <v>1978</v>
      </c>
      <c r="B1548" s="1" t="s">
        <v>2011</v>
      </c>
      <c r="C1548" s="1" t="s">
        <v>2007</v>
      </c>
      <c r="D1548" s="2" t="str">
        <f>HYPERLINK("https://inventaire.cncp.gouv.fr/fiches/1150/","1150")</f>
        <v>1150</v>
      </c>
      <c r="E1548" s="2" t="str">
        <f>HYPERLINK("http://www.intercariforef.org/formations/certification-85629.html","85629")</f>
        <v>85629</v>
      </c>
      <c r="F1548" s="3">
        <v>42269</v>
      </c>
      <c r="G1548" s="3">
        <v>43111</v>
      </c>
    </row>
    <row r="1549" spans="1:7" ht="26.2" x14ac:dyDescent="0.3">
      <c r="A1549" s="1" t="s">
        <v>1978</v>
      </c>
      <c r="B1549" s="1" t="s">
        <v>2012</v>
      </c>
      <c r="C1549" s="1" t="s">
        <v>2007</v>
      </c>
      <c r="D1549" s="2" t="str">
        <f>HYPERLINK("https://inventaire.cncp.gouv.fr/fiches/1151/","1151")</f>
        <v>1151</v>
      </c>
      <c r="E1549" s="2" t="str">
        <f>HYPERLINK("http://www.intercariforef.org/formations/certification-85630.html","85630")</f>
        <v>85630</v>
      </c>
      <c r="F1549" s="3">
        <v>42269</v>
      </c>
      <c r="G1549" s="3">
        <v>43111</v>
      </c>
    </row>
    <row r="1550" spans="1:7" x14ac:dyDescent="0.3">
      <c r="A1550" s="1" t="s">
        <v>1978</v>
      </c>
      <c r="B1550" s="1" t="s">
        <v>2013</v>
      </c>
      <c r="C1550" s="1" t="s">
        <v>2007</v>
      </c>
      <c r="D1550" s="2" t="str">
        <f>HYPERLINK("https://inventaire.cncp.gouv.fr/fiches/1152/","1152")</f>
        <v>1152</v>
      </c>
      <c r="E1550" s="2" t="str">
        <f>HYPERLINK("http://www.intercariforef.org/formations/certification-85631.html","85631")</f>
        <v>85631</v>
      </c>
      <c r="F1550" s="3">
        <v>42269</v>
      </c>
      <c r="G1550" s="3">
        <v>43111</v>
      </c>
    </row>
    <row r="1551" spans="1:7" x14ac:dyDescent="0.3">
      <c r="A1551" s="1" t="s">
        <v>1978</v>
      </c>
      <c r="B1551" s="1" t="s">
        <v>2014</v>
      </c>
      <c r="C1551" s="1" t="s">
        <v>2007</v>
      </c>
      <c r="D1551" s="2" t="str">
        <f>HYPERLINK("https://inventaire.cncp.gouv.fr/fiches/1153/","1153")</f>
        <v>1153</v>
      </c>
      <c r="E1551" s="2" t="str">
        <f>HYPERLINK("http://www.intercariforef.org/formations/certification-85632.html","85632")</f>
        <v>85632</v>
      </c>
      <c r="F1551" s="3">
        <v>42269</v>
      </c>
      <c r="G1551" s="3">
        <v>43111</v>
      </c>
    </row>
    <row r="1552" spans="1:7" x14ac:dyDescent="0.3">
      <c r="A1552" s="1" t="s">
        <v>1978</v>
      </c>
      <c r="B1552" s="1" t="s">
        <v>2015</v>
      </c>
      <c r="C1552" s="1" t="s">
        <v>2007</v>
      </c>
      <c r="D1552" s="2" t="str">
        <f>HYPERLINK("https://inventaire.cncp.gouv.fr/fiches/1154/","1154")</f>
        <v>1154</v>
      </c>
      <c r="E1552" s="2" t="str">
        <f>HYPERLINK("http://www.intercariforef.org/formations/certification-85636.html","85636")</f>
        <v>85636</v>
      </c>
      <c r="F1552" s="3">
        <v>42269</v>
      </c>
      <c r="G1552" s="3">
        <v>43111</v>
      </c>
    </row>
    <row r="1553" spans="1:7" x14ac:dyDescent="0.3">
      <c r="A1553" s="1" t="s">
        <v>1978</v>
      </c>
      <c r="B1553" s="1" t="s">
        <v>2016</v>
      </c>
      <c r="C1553" s="1" t="s">
        <v>2007</v>
      </c>
      <c r="D1553" s="2" t="str">
        <f>HYPERLINK("https://inventaire.cncp.gouv.fr/fiches/1155/","1155")</f>
        <v>1155</v>
      </c>
      <c r="E1553" s="2" t="str">
        <f>HYPERLINK("http://www.intercariforef.org/formations/certification-85637.html","85637")</f>
        <v>85637</v>
      </c>
      <c r="F1553" s="3">
        <v>42269</v>
      </c>
      <c r="G1553" s="3">
        <v>43111</v>
      </c>
    </row>
    <row r="1554" spans="1:7" x14ac:dyDescent="0.3">
      <c r="A1554" s="1" t="s">
        <v>1978</v>
      </c>
      <c r="B1554" s="1" t="s">
        <v>2017</v>
      </c>
      <c r="C1554" s="1" t="s">
        <v>2007</v>
      </c>
      <c r="D1554" s="2" t="str">
        <f>HYPERLINK("https://inventaire.cncp.gouv.fr/fiches/1156/","1156")</f>
        <v>1156</v>
      </c>
      <c r="E1554" s="2" t="str">
        <f>HYPERLINK("http://www.intercariforef.org/formations/certification-85638.html","85638")</f>
        <v>85638</v>
      </c>
      <c r="F1554" s="3">
        <v>42269</v>
      </c>
      <c r="G1554" s="3">
        <v>43111</v>
      </c>
    </row>
    <row r="1555" spans="1:7" x14ac:dyDescent="0.3">
      <c r="A1555" s="1" t="s">
        <v>1978</v>
      </c>
      <c r="B1555" s="1" t="s">
        <v>2018</v>
      </c>
      <c r="C1555" s="1" t="s">
        <v>2007</v>
      </c>
      <c r="D1555" s="2" t="str">
        <f>HYPERLINK("https://inventaire.cncp.gouv.fr/fiches/1131/","1131")</f>
        <v>1131</v>
      </c>
      <c r="E1555" s="2" t="str">
        <f>HYPERLINK("http://www.intercariforef.org/formations/certification-85606.html","85606")</f>
        <v>85606</v>
      </c>
      <c r="F1555" s="3">
        <v>42269</v>
      </c>
      <c r="G1555" s="3">
        <v>43111</v>
      </c>
    </row>
    <row r="1556" spans="1:7" x14ac:dyDescent="0.3">
      <c r="A1556" s="1" t="s">
        <v>1978</v>
      </c>
      <c r="B1556" s="1" t="s">
        <v>2019</v>
      </c>
      <c r="C1556" s="1" t="s">
        <v>2007</v>
      </c>
      <c r="D1556" s="2" t="str">
        <f>HYPERLINK("https://inventaire.cncp.gouv.fr/fiches/1132/","1132")</f>
        <v>1132</v>
      </c>
      <c r="E1556" s="2" t="str">
        <f>HYPERLINK("http://www.intercariforef.org/formations/certification-85607.html","85607")</f>
        <v>85607</v>
      </c>
      <c r="F1556" s="3">
        <v>42269</v>
      </c>
      <c r="G1556" s="3">
        <v>43111</v>
      </c>
    </row>
    <row r="1557" spans="1:7" x14ac:dyDescent="0.3">
      <c r="A1557" s="1" t="s">
        <v>1978</v>
      </c>
      <c r="B1557" s="1" t="s">
        <v>2020</v>
      </c>
      <c r="C1557" s="1" t="s">
        <v>2007</v>
      </c>
      <c r="D1557" s="2" t="str">
        <f>HYPERLINK("https://inventaire.cncp.gouv.fr/fiches/1133/","1133")</f>
        <v>1133</v>
      </c>
      <c r="E1557" s="2" t="str">
        <f>HYPERLINK("http://www.intercariforef.org/formations/certification-85609.html","85609")</f>
        <v>85609</v>
      </c>
      <c r="F1557" s="3">
        <v>42269</v>
      </c>
      <c r="G1557" s="3">
        <v>43111</v>
      </c>
    </row>
    <row r="1558" spans="1:7" ht="26.2" x14ac:dyDescent="0.3">
      <c r="A1558" s="1" t="s">
        <v>1978</v>
      </c>
      <c r="B1558" s="1" t="s">
        <v>2021</v>
      </c>
      <c r="C1558" s="1" t="s">
        <v>2007</v>
      </c>
      <c r="D1558" s="2" t="str">
        <f>HYPERLINK("https://inventaire.cncp.gouv.fr/fiches/1134/","1134")</f>
        <v>1134</v>
      </c>
      <c r="E1558" s="2" t="str">
        <f>HYPERLINK("http://www.intercariforef.org/formations/certification-85610.html","85610")</f>
        <v>85610</v>
      </c>
      <c r="F1558" s="3">
        <v>42269</v>
      </c>
      <c r="G1558" s="3">
        <v>43111</v>
      </c>
    </row>
    <row r="1559" spans="1:7" x14ac:dyDescent="0.3">
      <c r="A1559" s="1" t="s">
        <v>1978</v>
      </c>
      <c r="B1559" s="1" t="s">
        <v>2022</v>
      </c>
      <c r="C1559" s="1" t="s">
        <v>2007</v>
      </c>
      <c r="D1559" s="2" t="str">
        <f>HYPERLINK("https://inventaire.cncp.gouv.fr/fiches/1135/","1135")</f>
        <v>1135</v>
      </c>
      <c r="E1559" s="2" t="str">
        <f>HYPERLINK("http://www.intercariforef.org/formations/certification-85612.html","85612")</f>
        <v>85612</v>
      </c>
      <c r="F1559" s="3">
        <v>42269</v>
      </c>
      <c r="G1559" s="3">
        <v>43111</v>
      </c>
    </row>
    <row r="1560" spans="1:7" x14ac:dyDescent="0.3">
      <c r="A1560" s="1" t="s">
        <v>1978</v>
      </c>
      <c r="B1560" s="1" t="s">
        <v>2023</v>
      </c>
      <c r="C1560" s="1" t="s">
        <v>2007</v>
      </c>
      <c r="D1560" s="2" t="str">
        <f>HYPERLINK("https://inventaire.cncp.gouv.fr/fiches/1136/","1136")</f>
        <v>1136</v>
      </c>
      <c r="E1560" s="2" t="str">
        <f>HYPERLINK("http://www.intercariforef.org/formations/certification-85613.html","85613")</f>
        <v>85613</v>
      </c>
      <c r="F1560" s="3">
        <v>42269</v>
      </c>
      <c r="G1560" s="3">
        <v>43111</v>
      </c>
    </row>
    <row r="1561" spans="1:7" x14ac:dyDescent="0.3">
      <c r="A1561" s="1" t="s">
        <v>1978</v>
      </c>
      <c r="B1561" s="1" t="s">
        <v>2024</v>
      </c>
      <c r="C1561" s="1" t="s">
        <v>2007</v>
      </c>
      <c r="D1561" s="2" t="str">
        <f>HYPERLINK("https://inventaire.cncp.gouv.fr/fiches/1137/","1137")</f>
        <v>1137</v>
      </c>
      <c r="E1561" s="2" t="str">
        <f>HYPERLINK("http://www.intercariforef.org/formations/certification-85615.html","85615")</f>
        <v>85615</v>
      </c>
      <c r="F1561" s="3">
        <v>42269</v>
      </c>
      <c r="G1561" s="3">
        <v>43111</v>
      </c>
    </row>
    <row r="1562" spans="1:7" x14ac:dyDescent="0.3">
      <c r="A1562" s="1" t="s">
        <v>1978</v>
      </c>
      <c r="B1562" s="1" t="s">
        <v>2025</v>
      </c>
      <c r="C1562" s="1" t="s">
        <v>2007</v>
      </c>
      <c r="D1562" s="2" t="str">
        <f>HYPERLINK("https://inventaire.cncp.gouv.fr/fiches/1138/","1138")</f>
        <v>1138</v>
      </c>
      <c r="E1562" s="2" t="str">
        <f>HYPERLINK("http://www.intercariforef.org/formations/certification-85621.html","85621")</f>
        <v>85621</v>
      </c>
      <c r="F1562" s="3">
        <v>42269</v>
      </c>
      <c r="G1562" s="3">
        <v>43111</v>
      </c>
    </row>
    <row r="1563" spans="1:7" x14ac:dyDescent="0.3">
      <c r="A1563" s="1" t="s">
        <v>1978</v>
      </c>
      <c r="B1563" s="1" t="s">
        <v>2026</v>
      </c>
      <c r="C1563" s="1" t="s">
        <v>2007</v>
      </c>
      <c r="D1563" s="2" t="str">
        <f>HYPERLINK("https://inventaire.cncp.gouv.fr/fiches/1140/","1140")</f>
        <v>1140</v>
      </c>
      <c r="E1563" s="2" t="str">
        <f>HYPERLINK("http://www.intercariforef.org/formations/certification-85622.html","85622")</f>
        <v>85622</v>
      </c>
      <c r="F1563" s="3">
        <v>42269</v>
      </c>
      <c r="G1563" s="3">
        <v>43111</v>
      </c>
    </row>
    <row r="1564" spans="1:7" x14ac:dyDescent="0.3">
      <c r="A1564" s="1" t="s">
        <v>1978</v>
      </c>
      <c r="B1564" s="1" t="s">
        <v>2027</v>
      </c>
      <c r="C1564" s="1" t="s">
        <v>2007</v>
      </c>
      <c r="D1564" s="2" t="str">
        <f>HYPERLINK("https://inventaire.cncp.gouv.fr/fiches/1141/","1141")</f>
        <v>1141</v>
      </c>
      <c r="E1564" s="2" t="str">
        <f>HYPERLINK("http://www.intercariforef.org/formations/certification-85623.html","85623")</f>
        <v>85623</v>
      </c>
      <c r="F1564" s="3">
        <v>42269</v>
      </c>
      <c r="G1564" s="3">
        <v>43111</v>
      </c>
    </row>
    <row r="1565" spans="1:7" x14ac:dyDescent="0.3">
      <c r="A1565" s="1" t="s">
        <v>1978</v>
      </c>
      <c r="B1565" s="1" t="s">
        <v>2028</v>
      </c>
      <c r="C1565" s="1" t="s">
        <v>2007</v>
      </c>
      <c r="D1565" s="2" t="str">
        <f>HYPERLINK("https://inventaire.cncp.gouv.fr/fiches/1130/","1130")</f>
        <v>1130</v>
      </c>
      <c r="E1565" s="2" t="str">
        <f>HYPERLINK("http://www.intercariforef.org/formations/certification-85603.html","85603")</f>
        <v>85603</v>
      </c>
      <c r="F1565" s="3">
        <v>42269</v>
      </c>
      <c r="G1565" s="3">
        <v>43111</v>
      </c>
    </row>
    <row r="1566" spans="1:7" x14ac:dyDescent="0.3">
      <c r="A1566" s="1" t="s">
        <v>1978</v>
      </c>
      <c r="B1566" s="1" t="s">
        <v>2029</v>
      </c>
      <c r="C1566" s="1" t="s">
        <v>70</v>
      </c>
      <c r="D1566" s="2" t="str">
        <f>HYPERLINK("https://inventaire.cncp.gouv.fr/fiches/324/","324")</f>
        <v>324</v>
      </c>
      <c r="E1566" s="2" t="str">
        <f>HYPERLINK("http://www.intercariforef.org/formations/certification-84728.html","84728")</f>
        <v>84728</v>
      </c>
      <c r="F1566" s="3">
        <v>42156</v>
      </c>
      <c r="G1566" s="3">
        <v>43111</v>
      </c>
    </row>
    <row r="1567" spans="1:7" x14ac:dyDescent="0.3">
      <c r="A1567" s="1" t="s">
        <v>1978</v>
      </c>
      <c r="B1567" s="1" t="s">
        <v>2030</v>
      </c>
      <c r="C1567" s="1" t="s">
        <v>1980</v>
      </c>
      <c r="D1567" s="2" t="str">
        <f>HYPERLINK("https://inventaire.cncp.gouv.fr/fiches/2766/","2766")</f>
        <v>2766</v>
      </c>
      <c r="E1567" s="2" t="str">
        <f>HYPERLINK("http://www.intercariforef.org/formations/certification-94793.html","94793")</f>
        <v>94793</v>
      </c>
      <c r="F1567" s="3">
        <v>42836</v>
      </c>
      <c r="G1567" s="3">
        <v>42836</v>
      </c>
    </row>
    <row r="1568" spans="1:7" x14ac:dyDescent="0.3">
      <c r="A1568" s="1" t="s">
        <v>2031</v>
      </c>
      <c r="B1568" s="1" t="s">
        <v>2032</v>
      </c>
      <c r="C1568" s="1" t="s">
        <v>524</v>
      </c>
      <c r="D1568" s="2" t="str">
        <f>HYPERLINK("https://inventaire.cncp.gouv.fr/fiches/2885/","2885")</f>
        <v>2885</v>
      </c>
      <c r="E1568" s="2" t="str">
        <f>HYPERLINK("http://www.intercariforef.org/formations/certification-99239.html","99239")</f>
        <v>99239</v>
      </c>
      <c r="F1568" s="3">
        <v>43080</v>
      </c>
      <c r="G1568" s="3">
        <v>43080</v>
      </c>
    </row>
    <row r="1569" spans="1:7" x14ac:dyDescent="0.3">
      <c r="A1569" s="1" t="s">
        <v>2033</v>
      </c>
      <c r="B1569" s="1" t="s">
        <v>2034</v>
      </c>
      <c r="C1569" s="1" t="s">
        <v>75</v>
      </c>
      <c r="D1569" s="2" t="str">
        <f>HYPERLINK("https://inventaire.cncp.gouv.fr/fiches/3007/","3007")</f>
        <v>3007</v>
      </c>
      <c r="E1569" s="2" t="str">
        <f>HYPERLINK("http://www.intercariforef.org/formations/certification-98707.html","98707")</f>
        <v>98707</v>
      </c>
      <c r="F1569" s="3">
        <v>43045</v>
      </c>
      <c r="G1569" s="3">
        <v>43152</v>
      </c>
    </row>
    <row r="1570" spans="1:7" x14ac:dyDescent="0.3">
      <c r="A1570" s="1" t="s">
        <v>2033</v>
      </c>
      <c r="B1570" s="1" t="s">
        <v>2035</v>
      </c>
      <c r="C1570" s="1" t="s">
        <v>26</v>
      </c>
      <c r="D1570" s="2" t="str">
        <f>HYPERLINK("https://inventaire.cncp.gouv.fr/fiches/51/","51")</f>
        <v>51</v>
      </c>
      <c r="E1570" s="2" t="str">
        <f>HYPERLINK("http://www.intercariforef.org/formations/certification-84543.html","84543")</f>
        <v>84543</v>
      </c>
      <c r="F1570" s="3">
        <v>42114</v>
      </c>
      <c r="G1570" s="3">
        <v>42114</v>
      </c>
    </row>
    <row r="1571" spans="1:7" x14ac:dyDescent="0.3">
      <c r="A1571" s="1" t="s">
        <v>2033</v>
      </c>
      <c r="B1571" s="1" t="s">
        <v>2036</v>
      </c>
      <c r="C1571" s="1" t="s">
        <v>812</v>
      </c>
      <c r="D1571" s="2" t="str">
        <f>HYPERLINK("https://inventaire.cncp.gouv.fr/fiches/1905/","1905")</f>
        <v>1905</v>
      </c>
      <c r="E1571" s="2" t="str">
        <f>HYPERLINK("http://www.intercariforef.org/formations/certification-88519.html","88519")</f>
        <v>88519</v>
      </c>
      <c r="F1571" s="3">
        <v>42466</v>
      </c>
      <c r="G1571" s="3">
        <v>42979</v>
      </c>
    </row>
    <row r="1572" spans="1:7" x14ac:dyDescent="0.3">
      <c r="A1572" s="1" t="s">
        <v>2033</v>
      </c>
      <c r="B1572" s="1" t="s">
        <v>2037</v>
      </c>
      <c r="C1572" s="1" t="s">
        <v>70</v>
      </c>
      <c r="D1572" s="2" t="str">
        <f>HYPERLINK("https://inventaire.cncp.gouv.fr/fiches/915/","915")</f>
        <v>915</v>
      </c>
      <c r="E1572" s="2" t="str">
        <f>HYPERLINK("http://www.intercariforef.org/formations/certification-85055.html","85055")</f>
        <v>85055</v>
      </c>
      <c r="F1572" s="3">
        <v>42185</v>
      </c>
      <c r="G1572" s="3">
        <v>43111</v>
      </c>
    </row>
    <row r="1573" spans="1:7" x14ac:dyDescent="0.3">
      <c r="A1573" s="1" t="s">
        <v>2033</v>
      </c>
      <c r="B1573" s="1" t="s">
        <v>2038</v>
      </c>
      <c r="C1573" s="1" t="s">
        <v>70</v>
      </c>
      <c r="D1573" s="2" t="str">
        <f>HYPERLINK("https://inventaire.cncp.gouv.fr/fiches/721/","721")</f>
        <v>721</v>
      </c>
      <c r="E1573" s="2" t="str">
        <f>HYPERLINK("http://www.intercariforef.org/formations/certification-84695.html","84695")</f>
        <v>84695</v>
      </c>
      <c r="F1573" s="3">
        <v>42156</v>
      </c>
      <c r="G1573" s="3">
        <v>43111</v>
      </c>
    </row>
    <row r="1574" spans="1:7" x14ac:dyDescent="0.3">
      <c r="A1574" s="1" t="s">
        <v>2033</v>
      </c>
      <c r="B1574" s="1" t="s">
        <v>2039</v>
      </c>
      <c r="C1574" s="1" t="s">
        <v>70</v>
      </c>
      <c r="D1574" s="2" t="str">
        <f>HYPERLINK("https://inventaire.cncp.gouv.fr/fiches/719/","719")</f>
        <v>719</v>
      </c>
      <c r="E1574" s="2" t="str">
        <f>HYPERLINK("http://www.intercariforef.org/formations/certification-84692.html","84692")</f>
        <v>84692</v>
      </c>
      <c r="F1574" s="3">
        <v>42156</v>
      </c>
      <c r="G1574" s="3">
        <v>43111</v>
      </c>
    </row>
    <row r="1575" spans="1:7" x14ac:dyDescent="0.3">
      <c r="A1575" s="1" t="s">
        <v>2033</v>
      </c>
      <c r="B1575" s="1" t="s">
        <v>2040</v>
      </c>
      <c r="C1575" s="1" t="s">
        <v>2041</v>
      </c>
      <c r="D1575" s="2" t="str">
        <f>HYPERLINK("https://inventaire.cncp.gouv.fr/fiches/2479/","2479")</f>
        <v>2479</v>
      </c>
      <c r="E1575" s="2" t="str">
        <f>HYPERLINK("http://www.intercariforef.org/formations/certification-97099.html","97099")</f>
        <v>97099</v>
      </c>
      <c r="F1575" s="3">
        <v>42978</v>
      </c>
      <c r="G1575" s="3">
        <v>43111</v>
      </c>
    </row>
    <row r="1576" spans="1:7" x14ac:dyDescent="0.3">
      <c r="A1576" s="1" t="s">
        <v>2033</v>
      </c>
      <c r="B1576" s="1" t="s">
        <v>2042</v>
      </c>
      <c r="C1576" s="1" t="s">
        <v>2041</v>
      </c>
      <c r="D1576" s="2" t="str">
        <f>HYPERLINK("https://inventaire.cncp.gouv.fr/fiches/2478/","2478")</f>
        <v>2478</v>
      </c>
      <c r="E1576" s="2" t="str">
        <f>HYPERLINK("http://www.intercariforef.org/formations/certification-97101.html","97101")</f>
        <v>97101</v>
      </c>
      <c r="F1576" s="3">
        <v>42978</v>
      </c>
      <c r="G1576" s="3">
        <v>43111</v>
      </c>
    </row>
    <row r="1577" spans="1:7" x14ac:dyDescent="0.3">
      <c r="A1577" s="1" t="s">
        <v>2033</v>
      </c>
      <c r="B1577" s="1" t="s">
        <v>2043</v>
      </c>
      <c r="C1577" s="1" t="s">
        <v>75</v>
      </c>
      <c r="D1577" s="2" t="str">
        <f>HYPERLINK("https://inventaire.cncp.gouv.fr/fiches/927/","927")</f>
        <v>927</v>
      </c>
      <c r="E1577" s="2" t="str">
        <f>HYPERLINK("http://www.intercariforef.org/formations/certification-85049.html","85049")</f>
        <v>85049</v>
      </c>
      <c r="F1577" s="3">
        <v>42185</v>
      </c>
      <c r="G1577" s="3">
        <v>42185</v>
      </c>
    </row>
    <row r="1578" spans="1:7" x14ac:dyDescent="0.3">
      <c r="A1578" s="1" t="s">
        <v>2033</v>
      </c>
      <c r="B1578" s="1" t="s">
        <v>2044</v>
      </c>
      <c r="C1578" s="1" t="s">
        <v>75</v>
      </c>
      <c r="D1578" s="2" t="str">
        <f>HYPERLINK("https://inventaire.cncp.gouv.fr/fiches/929/","929")</f>
        <v>929</v>
      </c>
      <c r="E1578" s="2" t="str">
        <f>HYPERLINK("http://www.intercariforef.org/formations/certification-85050.html","85050")</f>
        <v>85050</v>
      </c>
      <c r="F1578" s="3">
        <v>42185</v>
      </c>
      <c r="G1578" s="3">
        <v>42185</v>
      </c>
    </row>
    <row r="1579" spans="1:7" x14ac:dyDescent="0.3">
      <c r="A1579" s="1" t="s">
        <v>2033</v>
      </c>
      <c r="B1579" s="1" t="s">
        <v>2045</v>
      </c>
      <c r="C1579" s="1" t="s">
        <v>75</v>
      </c>
      <c r="D1579" s="2" t="str">
        <f>HYPERLINK("https://inventaire.cncp.gouv.fr/fiches/1012/","1012")</f>
        <v>1012</v>
      </c>
      <c r="E1579" s="2" t="str">
        <f>HYPERLINK("http://www.intercariforef.org/formations/certification-85042.html","85042")</f>
        <v>85042</v>
      </c>
      <c r="F1579" s="3">
        <v>42185</v>
      </c>
      <c r="G1579" s="3">
        <v>42185</v>
      </c>
    </row>
    <row r="1580" spans="1:7" ht="39.299999999999997" x14ac:dyDescent="0.3">
      <c r="A1580" s="1" t="s">
        <v>2033</v>
      </c>
      <c r="B1580" s="1" t="s">
        <v>2046</v>
      </c>
      <c r="C1580" s="1" t="s">
        <v>2047</v>
      </c>
      <c r="D1580" s="2" t="str">
        <f>HYPERLINK("https://inventaire.cncp.gouv.fr/fiches/2752/","2752")</f>
        <v>2752</v>
      </c>
      <c r="E1580" s="2" t="str">
        <f>HYPERLINK("http://www.intercariforef.org/formations/certification-49581.html","49581")</f>
        <v>49581</v>
      </c>
      <c r="F1580" s="3">
        <v>37900</v>
      </c>
      <c r="G1580" s="3">
        <v>42923</v>
      </c>
    </row>
    <row r="1581" spans="1:7" ht="39.299999999999997" x14ac:dyDescent="0.3">
      <c r="A1581" s="1" t="s">
        <v>2033</v>
      </c>
      <c r="B1581" s="1" t="s">
        <v>2048</v>
      </c>
      <c r="C1581" s="1" t="s">
        <v>2047</v>
      </c>
      <c r="D1581" s="2" t="str">
        <f>HYPERLINK("https://inventaire.cncp.gouv.fr/fiches/2753/","2753")</f>
        <v>2753</v>
      </c>
      <c r="E1581" s="2" t="str">
        <f>HYPERLINK("http://www.intercariforef.org/formations/certification-48463.html","48463")</f>
        <v>48463</v>
      </c>
      <c r="F1581" s="3">
        <v>36886</v>
      </c>
      <c r="G1581" s="3">
        <v>42923</v>
      </c>
    </row>
    <row r="1582" spans="1:7" ht="39.299999999999997" x14ac:dyDescent="0.3">
      <c r="A1582" s="1" t="s">
        <v>2033</v>
      </c>
      <c r="B1582" s="1" t="s">
        <v>2049</v>
      </c>
      <c r="C1582" s="1" t="s">
        <v>2047</v>
      </c>
      <c r="D1582" s="2" t="str">
        <f>HYPERLINK("https://inventaire.cncp.gouv.fr/fiches/2754/","2754")</f>
        <v>2754</v>
      </c>
      <c r="E1582" s="2" t="str">
        <f>HYPERLINK("http://www.intercariforef.org/formations/certification-48047.html","48047")</f>
        <v>48047</v>
      </c>
      <c r="F1582" s="3">
        <v>37900</v>
      </c>
      <c r="G1582" s="3">
        <v>42923</v>
      </c>
    </row>
    <row r="1583" spans="1:7" ht="39.299999999999997" x14ac:dyDescent="0.3">
      <c r="A1583" s="1" t="s">
        <v>2033</v>
      </c>
      <c r="B1583" s="1" t="s">
        <v>2050</v>
      </c>
      <c r="C1583" s="1" t="s">
        <v>2047</v>
      </c>
      <c r="D1583" s="2" t="str">
        <f>HYPERLINK("https://inventaire.cncp.gouv.fr/fiches/2973/","2973")</f>
        <v>2973</v>
      </c>
      <c r="E1583" s="2" t="str">
        <f>HYPERLINK("http://www.intercariforef.org/formations/certification-49582.html","49582")</f>
        <v>49582</v>
      </c>
      <c r="F1583" s="3">
        <v>37900</v>
      </c>
      <c r="G1583" s="3">
        <v>43038</v>
      </c>
    </row>
    <row r="1584" spans="1:7" ht="39.299999999999997" x14ac:dyDescent="0.3">
      <c r="A1584" s="1" t="s">
        <v>2033</v>
      </c>
      <c r="B1584" s="1" t="s">
        <v>2051</v>
      </c>
      <c r="C1584" s="1" t="s">
        <v>2047</v>
      </c>
      <c r="D1584" s="2" t="str">
        <f>HYPERLINK("https://inventaire.cncp.gouv.fr/fiches/2974/","2974")</f>
        <v>2974</v>
      </c>
      <c r="E1584" s="2" t="str">
        <f>HYPERLINK("http://www.intercariforef.org/formations/certification-48464.html","48464")</f>
        <v>48464</v>
      </c>
      <c r="F1584" s="3">
        <v>36886</v>
      </c>
      <c r="G1584" s="3">
        <v>42928</v>
      </c>
    </row>
    <row r="1585" spans="1:7" ht="39.299999999999997" x14ac:dyDescent="0.3">
      <c r="A1585" s="1" t="s">
        <v>2033</v>
      </c>
      <c r="B1585" s="1" t="s">
        <v>2052</v>
      </c>
      <c r="C1585" s="1" t="s">
        <v>2047</v>
      </c>
      <c r="D1585" s="2" t="str">
        <f>HYPERLINK("https://inventaire.cncp.gouv.fr/fiches/2754/","2754")</f>
        <v>2754</v>
      </c>
      <c r="E1585" s="2" t="str">
        <f>HYPERLINK("http://www.intercariforef.org/formations/certification-48048.html","48048")</f>
        <v>48048</v>
      </c>
      <c r="F1585" s="3">
        <v>37900</v>
      </c>
      <c r="G1585" s="3">
        <v>42923</v>
      </c>
    </row>
    <row r="1586" spans="1:7" ht="26.2" x14ac:dyDescent="0.3">
      <c r="A1586" s="1" t="s">
        <v>2033</v>
      </c>
      <c r="B1586" s="1" t="s">
        <v>2053</v>
      </c>
      <c r="C1586" s="1" t="s">
        <v>75</v>
      </c>
      <c r="D1586" s="2" t="str">
        <f>HYPERLINK("https://inventaire.cncp.gouv.fr/fiches/1766/","1766")</f>
        <v>1766</v>
      </c>
      <c r="E1586" s="2" t="str">
        <f>HYPERLINK("http://www.intercariforef.org/formations/certification-95251.html","95251")</f>
        <v>95251</v>
      </c>
      <c r="F1586" s="3">
        <v>42851</v>
      </c>
      <c r="G1586" s="3">
        <v>43152</v>
      </c>
    </row>
    <row r="1587" spans="1:7" ht="26.2" x14ac:dyDescent="0.3">
      <c r="A1587" s="1" t="s">
        <v>2033</v>
      </c>
      <c r="B1587" s="1" t="s">
        <v>2054</v>
      </c>
      <c r="C1587" s="1" t="s">
        <v>1764</v>
      </c>
      <c r="D1587" s="2" t="str">
        <f>HYPERLINK("https://inventaire.cncp.gouv.fr/fiches/1037/","1037")</f>
        <v>1037</v>
      </c>
      <c r="E1587" s="2" t="str">
        <f>HYPERLINK("http://www.intercariforef.org/formations/certification-85560.html","85560")</f>
        <v>85560</v>
      </c>
      <c r="F1587" s="3">
        <v>42269</v>
      </c>
      <c r="G1587" s="3">
        <v>43125</v>
      </c>
    </row>
    <row r="1588" spans="1:7" ht="26.2" x14ac:dyDescent="0.3">
      <c r="A1588" s="1" t="s">
        <v>2033</v>
      </c>
      <c r="B1588" s="1" t="s">
        <v>2055</v>
      </c>
      <c r="C1588" s="1" t="s">
        <v>1764</v>
      </c>
      <c r="D1588" s="2" t="str">
        <f>HYPERLINK("https://inventaire.cncp.gouv.fr/fiches/1026/","1026")</f>
        <v>1026</v>
      </c>
      <c r="E1588" s="2" t="str">
        <f>HYPERLINK("http://www.intercariforef.org/formations/certification-85563.html","85563")</f>
        <v>85563</v>
      </c>
      <c r="F1588" s="3">
        <v>42269</v>
      </c>
      <c r="G1588" s="3">
        <v>43125</v>
      </c>
    </row>
    <row r="1589" spans="1:7" x14ac:dyDescent="0.3">
      <c r="A1589" s="1" t="s">
        <v>2033</v>
      </c>
      <c r="B1589" s="1" t="s">
        <v>2056</v>
      </c>
      <c r="C1589" s="1" t="s">
        <v>323</v>
      </c>
      <c r="D1589" s="2" t="str">
        <f>HYPERLINK("https://inventaire.cncp.gouv.fr/fiches/1787/","1787")</f>
        <v>1787</v>
      </c>
      <c r="E1589" s="2" t="str">
        <f>HYPERLINK("http://www.intercariforef.org/formations/certification-87647.html","87647")</f>
        <v>87647</v>
      </c>
      <c r="F1589" s="3">
        <v>42415</v>
      </c>
      <c r="G1589" s="3">
        <v>42979</v>
      </c>
    </row>
    <row r="1590" spans="1:7" x14ac:dyDescent="0.3">
      <c r="A1590" s="1" t="s">
        <v>2033</v>
      </c>
      <c r="B1590" s="1" t="s">
        <v>2057</v>
      </c>
      <c r="C1590" s="1" t="s">
        <v>779</v>
      </c>
      <c r="D1590" s="2" t="str">
        <f>HYPERLINK("https://inventaire.cncp.gouv.fr/fiches/797/","797")</f>
        <v>797</v>
      </c>
      <c r="E1590" s="2" t="str">
        <f>HYPERLINK("http://www.intercariforef.org/formations/certification-66280.html","66280")</f>
        <v>66280</v>
      </c>
      <c r="F1590" s="3">
        <v>40246</v>
      </c>
      <c r="G1590" s="3">
        <v>42979</v>
      </c>
    </row>
    <row r="1591" spans="1:7" ht="26.2" x14ac:dyDescent="0.3">
      <c r="A1591" s="1" t="s">
        <v>2033</v>
      </c>
      <c r="B1591" s="1" t="s">
        <v>2058</v>
      </c>
      <c r="C1591" s="1" t="s">
        <v>2059</v>
      </c>
      <c r="D1591" s="2" t="str">
        <f>HYPERLINK("https://inventaire.cncp.gouv.fr/fiches/3167/","3167")</f>
        <v>3167</v>
      </c>
      <c r="E1591" s="2" t="str">
        <f>HYPERLINK("http://www.intercariforef.org/formations/certification-82711.html","82711")</f>
        <v>82711</v>
      </c>
      <c r="F1591" s="3">
        <v>41711</v>
      </c>
      <c r="G1591" s="3">
        <v>43339</v>
      </c>
    </row>
    <row r="1592" spans="1:7" ht="78.55" x14ac:dyDescent="0.3">
      <c r="A1592" s="1" t="s">
        <v>2033</v>
      </c>
      <c r="B1592" s="1" t="s">
        <v>2060</v>
      </c>
      <c r="C1592" s="1" t="s">
        <v>2061</v>
      </c>
      <c r="D1592" s="2" t="str">
        <f>HYPERLINK("https://inventaire.cncp.gouv.fr/fiches/2972/","2972")</f>
        <v>2972</v>
      </c>
      <c r="E1592" s="2" t="str">
        <f>HYPERLINK("http://www.intercariforef.org/formations/certification-79294.html","79294")</f>
        <v>79294</v>
      </c>
      <c r="F1592" s="3">
        <v>41165</v>
      </c>
      <c r="G1592" s="3">
        <v>43360</v>
      </c>
    </row>
    <row r="1593" spans="1:7" ht="130.94999999999999" x14ac:dyDescent="0.3">
      <c r="A1593" s="1" t="s">
        <v>2033</v>
      </c>
      <c r="B1593" s="1" t="s">
        <v>2062</v>
      </c>
      <c r="C1593" s="1" t="s">
        <v>2063</v>
      </c>
      <c r="D1593" s="2" t="str">
        <f>HYPERLINK("https://inventaire.cncp.gouv.fr/fiches/2771/","2771")</f>
        <v>2771</v>
      </c>
      <c r="E1593" s="2" t="str">
        <f>HYPERLINK("http://www.intercariforef.org/formations/certification-79295.html","79295")</f>
        <v>79295</v>
      </c>
      <c r="F1593" s="3">
        <v>41165</v>
      </c>
      <c r="G1593" s="3">
        <v>43360</v>
      </c>
    </row>
    <row r="1594" spans="1:7" ht="26.2" x14ac:dyDescent="0.3">
      <c r="A1594" s="1" t="s">
        <v>2033</v>
      </c>
      <c r="B1594" s="1" t="s">
        <v>2064</v>
      </c>
      <c r="C1594" s="1" t="s">
        <v>2059</v>
      </c>
      <c r="D1594" s="2" t="str">
        <f>HYPERLINK("https://inventaire.cncp.gouv.fr/fiches/3164/","3164")</f>
        <v>3164</v>
      </c>
      <c r="E1594" s="2" t="str">
        <f>HYPERLINK("http://www.intercariforef.org/formations/certification-82708.html","82708")</f>
        <v>82708</v>
      </c>
      <c r="F1594" s="3">
        <v>41710</v>
      </c>
      <c r="G1594" s="3">
        <v>43339</v>
      </c>
    </row>
    <row r="1595" spans="1:7" ht="26.2" x14ac:dyDescent="0.3">
      <c r="A1595" s="1" t="s">
        <v>2033</v>
      </c>
      <c r="B1595" s="1" t="s">
        <v>2065</v>
      </c>
      <c r="C1595" s="1" t="s">
        <v>2059</v>
      </c>
      <c r="D1595" s="2" t="str">
        <f>HYPERLINK("https://inventaire.cncp.gouv.fr/fiches/3166/","3166")</f>
        <v>3166</v>
      </c>
      <c r="E1595" s="2" t="str">
        <f>HYPERLINK("http://www.intercariforef.org/formations/certification-82710.html","82710")</f>
        <v>82710</v>
      </c>
      <c r="F1595" s="3">
        <v>41711</v>
      </c>
      <c r="G1595" s="3">
        <v>43339</v>
      </c>
    </row>
    <row r="1596" spans="1:7" x14ac:dyDescent="0.3">
      <c r="A1596" s="1" t="s">
        <v>2033</v>
      </c>
      <c r="B1596" s="1" t="s">
        <v>2066</v>
      </c>
      <c r="C1596" s="1" t="s">
        <v>2067</v>
      </c>
      <c r="D1596" s="2" t="str">
        <f>HYPERLINK("https://inventaire.cncp.gouv.fr/fiches/2379/","2379")</f>
        <v>2379</v>
      </c>
      <c r="E1596" s="2" t="str">
        <f>HYPERLINK("http://www.intercariforef.org/formations/certification-95463.html","95463")</f>
        <v>95463</v>
      </c>
      <c r="F1596" s="3">
        <v>42884</v>
      </c>
      <c r="G1596" s="3">
        <v>42884</v>
      </c>
    </row>
    <row r="1597" spans="1:7" x14ac:dyDescent="0.3">
      <c r="A1597" s="1" t="s">
        <v>2033</v>
      </c>
      <c r="B1597" s="1" t="s">
        <v>2068</v>
      </c>
      <c r="C1597" s="1" t="s">
        <v>70</v>
      </c>
      <c r="D1597" s="2" t="str">
        <f>HYPERLINK("https://inventaire.cncp.gouv.fr/fiches/461/","461")</f>
        <v>461</v>
      </c>
      <c r="E1597" s="2" t="str">
        <f>HYPERLINK("http://www.intercariforef.org/formations/certification-66262.html","66262")</f>
        <v>66262</v>
      </c>
      <c r="F1597" s="3">
        <v>40246</v>
      </c>
      <c r="G1597" s="3">
        <v>43111</v>
      </c>
    </row>
    <row r="1598" spans="1:7" x14ac:dyDescent="0.3">
      <c r="A1598" s="1" t="s">
        <v>2033</v>
      </c>
      <c r="B1598" s="1" t="s">
        <v>2069</v>
      </c>
      <c r="C1598" s="1" t="s">
        <v>2070</v>
      </c>
      <c r="D1598" s="2" t="str">
        <f>HYPERLINK("https://inventaire.cncp.gouv.fr/fiches/715/","715")</f>
        <v>715</v>
      </c>
      <c r="E1598" s="2" t="str">
        <f>HYPERLINK("http://www.intercariforef.org/formations/certification-72134.html","72134")</f>
        <v>72134</v>
      </c>
      <c r="F1598" s="3">
        <v>40521</v>
      </c>
      <c r="G1598" s="3">
        <v>43125</v>
      </c>
    </row>
    <row r="1599" spans="1:7" x14ac:dyDescent="0.3">
      <c r="A1599" s="1" t="s">
        <v>2033</v>
      </c>
      <c r="B1599" s="1" t="s">
        <v>2071</v>
      </c>
      <c r="C1599" s="1" t="s">
        <v>2072</v>
      </c>
      <c r="D1599" s="2" t="str">
        <f>HYPERLINK("https://inventaire.cncp.gouv.fr/fiches/2768/","2768")</f>
        <v>2768</v>
      </c>
      <c r="E1599" s="2" t="str">
        <f>HYPERLINK("http://www.intercariforef.org/formations/certification-100527.html","100527")</f>
        <v>100527</v>
      </c>
      <c r="F1599" s="3">
        <v>43187</v>
      </c>
      <c r="G1599" s="3">
        <v>43187</v>
      </c>
    </row>
    <row r="1600" spans="1:7" ht="26.2" x14ac:dyDescent="0.3">
      <c r="A1600" s="1" t="s">
        <v>2033</v>
      </c>
      <c r="B1600" s="1" t="s">
        <v>2073</v>
      </c>
      <c r="C1600" s="1" t="s">
        <v>830</v>
      </c>
      <c r="D1600" s="2" t="str">
        <f>HYPERLINK("https://inventaire.cncp.gouv.fr/fiches/2300/","2300")</f>
        <v>2300</v>
      </c>
      <c r="E1600" s="2" t="str">
        <f>HYPERLINK("http://www.intercariforef.org/formations/certification-93771.html","93771")</f>
        <v>93771</v>
      </c>
      <c r="F1600" s="3">
        <v>42725</v>
      </c>
      <c r="G1600" s="3">
        <v>42725</v>
      </c>
    </row>
    <row r="1601" spans="1:7" x14ac:dyDescent="0.3">
      <c r="A1601" s="1" t="s">
        <v>2033</v>
      </c>
      <c r="B1601" s="1" t="s">
        <v>2074</v>
      </c>
      <c r="C1601" s="1" t="s">
        <v>331</v>
      </c>
      <c r="D1601" s="2" t="str">
        <f>HYPERLINK("https://inventaire.cncp.gouv.fr/fiches/2893/","2893")</f>
        <v>2893</v>
      </c>
      <c r="E1601" s="2" t="str">
        <f>HYPERLINK("http://www.intercariforef.org/formations/certification-98645.html","98645")</f>
        <v>98645</v>
      </c>
      <c r="F1601" s="3">
        <v>43038</v>
      </c>
      <c r="G1601" s="3">
        <v>43038</v>
      </c>
    </row>
    <row r="1602" spans="1:7" x14ac:dyDescent="0.3">
      <c r="A1602" s="1" t="s">
        <v>2033</v>
      </c>
      <c r="B1602" s="1" t="s">
        <v>2075</v>
      </c>
      <c r="C1602" s="1" t="s">
        <v>842</v>
      </c>
      <c r="D1602" s="2" t="str">
        <f>HYPERLINK("https://inventaire.cncp.gouv.fr/fiches/3212/","3212")</f>
        <v>3212</v>
      </c>
      <c r="E1602" s="2" t="str">
        <f>HYPERLINK("http://www.intercariforef.org/formations/certification-104033.html","104033")</f>
        <v>104033</v>
      </c>
      <c r="F1602" s="3">
        <v>43392</v>
      </c>
      <c r="G1602" s="3">
        <v>43392</v>
      </c>
    </row>
    <row r="1603" spans="1:7" x14ac:dyDescent="0.3">
      <c r="A1603" s="1" t="s">
        <v>2033</v>
      </c>
      <c r="B1603" s="1" t="s">
        <v>2076</v>
      </c>
      <c r="C1603" s="1" t="s">
        <v>75</v>
      </c>
      <c r="D1603" s="2" t="str">
        <f>HYPERLINK("https://inventaire.cncp.gouv.fr/fiches/3004/","3004")</f>
        <v>3004</v>
      </c>
      <c r="E1603" s="2" t="str">
        <f>HYPERLINK("http://www.intercariforef.org/formations/certification-98703.html","98703")</f>
        <v>98703</v>
      </c>
      <c r="F1603" s="3">
        <v>43045</v>
      </c>
      <c r="G1603" s="3">
        <v>43152</v>
      </c>
    </row>
    <row r="1604" spans="1:7" x14ac:dyDescent="0.3">
      <c r="A1604" s="1" t="s">
        <v>2033</v>
      </c>
      <c r="B1604" s="1" t="s">
        <v>2077</v>
      </c>
      <c r="C1604" s="1" t="s">
        <v>812</v>
      </c>
      <c r="D1604" s="2" t="str">
        <f>HYPERLINK("https://inventaire.cncp.gouv.fr/fiches/1906/","1906")</f>
        <v>1906</v>
      </c>
      <c r="E1604" s="2" t="str">
        <f>HYPERLINK("http://www.intercariforef.org/formations/certification-88521.html","88521")</f>
        <v>88521</v>
      </c>
      <c r="F1604" s="3">
        <v>42466</v>
      </c>
      <c r="G1604" s="3">
        <v>42979</v>
      </c>
    </row>
    <row r="1605" spans="1:7" x14ac:dyDescent="0.3">
      <c r="A1605" s="1" t="s">
        <v>2033</v>
      </c>
      <c r="B1605" s="1" t="s">
        <v>2078</v>
      </c>
      <c r="C1605" s="1" t="s">
        <v>2041</v>
      </c>
      <c r="D1605" s="2" t="str">
        <f>HYPERLINK("https://inventaire.cncp.gouv.fr/fiches/2477/","2477")</f>
        <v>2477</v>
      </c>
      <c r="E1605" s="2" t="str">
        <f>HYPERLINK("http://www.intercariforef.org/formations/certification-97103.html","97103")</f>
        <v>97103</v>
      </c>
      <c r="F1605" s="3">
        <v>42978</v>
      </c>
      <c r="G1605" s="3">
        <v>43111</v>
      </c>
    </row>
    <row r="1606" spans="1:7" x14ac:dyDescent="0.3">
      <c r="A1606" s="1" t="s">
        <v>2033</v>
      </c>
      <c r="B1606" s="1" t="s">
        <v>2079</v>
      </c>
      <c r="C1606" s="1" t="s">
        <v>2041</v>
      </c>
      <c r="D1606" s="2" t="str">
        <f>HYPERLINK("https://inventaire.cncp.gouv.fr/fiches/2475/","2475")</f>
        <v>2475</v>
      </c>
      <c r="E1606" s="2" t="str">
        <f>HYPERLINK("http://www.intercariforef.org/formations/certification-97107.html","97107")</f>
        <v>97107</v>
      </c>
      <c r="F1606" s="3">
        <v>42978</v>
      </c>
      <c r="G1606" s="3">
        <v>43111</v>
      </c>
    </row>
    <row r="1607" spans="1:7" x14ac:dyDescent="0.3">
      <c r="A1607" s="1" t="s">
        <v>2033</v>
      </c>
      <c r="B1607" s="1" t="s">
        <v>2080</v>
      </c>
      <c r="C1607" s="1" t="s">
        <v>2041</v>
      </c>
      <c r="D1607" s="2" t="str">
        <f>HYPERLINK("https://inventaire.cncp.gouv.fr/fiches/2476/","2476")</f>
        <v>2476</v>
      </c>
      <c r="E1607" s="2" t="str">
        <f>HYPERLINK("http://www.intercariforef.org/formations/certification-97105.html","97105")</f>
        <v>97105</v>
      </c>
      <c r="F1607" s="3">
        <v>42978</v>
      </c>
      <c r="G1607" s="3">
        <v>43111</v>
      </c>
    </row>
    <row r="1608" spans="1:7" x14ac:dyDescent="0.3">
      <c r="A1608" s="1" t="s">
        <v>2033</v>
      </c>
      <c r="B1608" s="1" t="s">
        <v>2081</v>
      </c>
      <c r="C1608" s="1" t="s">
        <v>2082</v>
      </c>
      <c r="D1608" s="2" t="str">
        <f>HYPERLINK("https://inventaire.cncp.gouv.fr/fiches/1468/","1468")</f>
        <v>1468</v>
      </c>
      <c r="E1608" s="2" t="str">
        <f>HYPERLINK("http://www.intercariforef.org/formations/certification-89051.html","89051")</f>
        <v>89051</v>
      </c>
      <c r="F1608" s="3">
        <v>42516</v>
      </c>
      <c r="G1608" s="3">
        <v>42516</v>
      </c>
    </row>
    <row r="1609" spans="1:7" x14ac:dyDescent="0.3">
      <c r="A1609" s="1" t="s">
        <v>2033</v>
      </c>
      <c r="B1609" s="1" t="s">
        <v>2083</v>
      </c>
      <c r="C1609" s="1" t="s">
        <v>2082</v>
      </c>
      <c r="D1609" s="2" t="str">
        <f>HYPERLINK("https://inventaire.cncp.gouv.fr/fiches/1464/","1464")</f>
        <v>1464</v>
      </c>
      <c r="E1609" s="2" t="str">
        <f>HYPERLINK("http://www.intercariforef.org/formations/certification-89045.html","89045")</f>
        <v>89045</v>
      </c>
      <c r="F1609" s="3">
        <v>42516</v>
      </c>
      <c r="G1609" s="3">
        <v>42516</v>
      </c>
    </row>
    <row r="1610" spans="1:7" x14ac:dyDescent="0.3">
      <c r="A1610" s="1" t="s">
        <v>2033</v>
      </c>
      <c r="B1610" s="1" t="s">
        <v>2084</v>
      </c>
      <c r="C1610" s="1" t="s">
        <v>2082</v>
      </c>
      <c r="D1610" s="2" t="str">
        <f>HYPERLINK("https://inventaire.cncp.gouv.fr/fiches/1358/","1358")</f>
        <v>1358</v>
      </c>
      <c r="E1610" s="2" t="str">
        <f>HYPERLINK("http://www.intercariforef.org/formations/certification-81499.html","81499")</f>
        <v>81499</v>
      </c>
      <c r="F1610" s="3">
        <v>41513</v>
      </c>
      <c r="G1610" s="3">
        <v>42516</v>
      </c>
    </row>
    <row r="1611" spans="1:7" x14ac:dyDescent="0.3">
      <c r="A1611" s="1" t="s">
        <v>2033</v>
      </c>
      <c r="B1611" s="1" t="s">
        <v>2085</v>
      </c>
      <c r="C1611" s="1" t="s">
        <v>2086</v>
      </c>
      <c r="D1611" s="2" t="str">
        <f>HYPERLINK("https://inventaire.cncp.gouv.fr/fiches/1588/","1588")</f>
        <v>1588</v>
      </c>
      <c r="E1611" s="2" t="str">
        <f>HYPERLINK("http://www.intercariforef.org/formations/certification-89253.html","89253")</f>
        <v>89253</v>
      </c>
      <c r="F1611" s="3">
        <v>42522</v>
      </c>
      <c r="G1611" s="3">
        <v>42522</v>
      </c>
    </row>
    <row r="1612" spans="1:7" x14ac:dyDescent="0.3">
      <c r="A1612" s="1" t="s">
        <v>2033</v>
      </c>
      <c r="B1612" s="1" t="s">
        <v>2087</v>
      </c>
      <c r="C1612" s="1" t="s">
        <v>2088</v>
      </c>
      <c r="D1612" s="2" t="str">
        <f>HYPERLINK("https://inventaire.cncp.gouv.fr/fiches/1735/","1735")</f>
        <v>1735</v>
      </c>
      <c r="E1612" s="2" t="str">
        <f>HYPERLINK("http://www.intercariforef.org/formations/certification-87575.html","87575")</f>
        <v>87575</v>
      </c>
      <c r="F1612" s="3">
        <v>42412</v>
      </c>
      <c r="G1612" s="3">
        <v>43125</v>
      </c>
    </row>
    <row r="1613" spans="1:7" x14ac:dyDescent="0.3">
      <c r="A1613" s="1" t="s">
        <v>2033</v>
      </c>
      <c r="B1613" s="1" t="s">
        <v>2089</v>
      </c>
      <c r="C1613" s="1" t="s">
        <v>2070</v>
      </c>
      <c r="D1613" s="2" t="str">
        <f>HYPERLINK("https://inventaire.cncp.gouv.fr/fiches/720/","720")</f>
        <v>720</v>
      </c>
      <c r="E1613" s="2" t="str">
        <f>HYPERLINK("http://www.intercariforef.org/formations/certification-86204.html","86204")</f>
        <v>86204</v>
      </c>
      <c r="F1613" s="3">
        <v>42318</v>
      </c>
      <c r="G1613" s="3">
        <v>43125</v>
      </c>
    </row>
    <row r="1614" spans="1:7" x14ac:dyDescent="0.3">
      <c r="A1614" s="1" t="s">
        <v>2033</v>
      </c>
      <c r="B1614" s="1" t="s">
        <v>2090</v>
      </c>
      <c r="C1614" s="1" t="s">
        <v>2091</v>
      </c>
      <c r="D1614" s="2" t="str">
        <f>HYPERLINK("https://inventaire.cncp.gouv.fr/fiches/1958/","1958")</f>
        <v>1958</v>
      </c>
      <c r="E1614" s="2" t="str">
        <f>HYPERLINK("http://www.intercariforef.org/formations/certification-88603.html","88603")</f>
        <v>88603</v>
      </c>
      <c r="F1614" s="3">
        <v>42482</v>
      </c>
      <c r="G1614" s="3">
        <v>42482</v>
      </c>
    </row>
    <row r="1615" spans="1:7" x14ac:dyDescent="0.3">
      <c r="A1615" s="1" t="s">
        <v>2033</v>
      </c>
      <c r="B1615" s="1" t="s">
        <v>2092</v>
      </c>
      <c r="C1615" s="1" t="s">
        <v>2091</v>
      </c>
      <c r="D1615" s="2" t="str">
        <f>HYPERLINK("https://inventaire.cncp.gouv.fr/fiches/1960/","1960")</f>
        <v>1960</v>
      </c>
      <c r="E1615" s="2" t="str">
        <f>HYPERLINK("http://www.intercariforef.org/formations/certification-88601.html","88601")</f>
        <v>88601</v>
      </c>
      <c r="F1615" s="3">
        <v>42482</v>
      </c>
      <c r="G1615" s="3">
        <v>42482</v>
      </c>
    </row>
    <row r="1616" spans="1:7" x14ac:dyDescent="0.3">
      <c r="A1616" s="1" t="s">
        <v>2033</v>
      </c>
      <c r="B1616" s="1" t="s">
        <v>2093</v>
      </c>
      <c r="C1616" s="1" t="s">
        <v>992</v>
      </c>
      <c r="D1616" s="2" t="str">
        <f>HYPERLINK("https://inventaire.cncp.gouv.fr/fiches/992/","992")</f>
        <v>992</v>
      </c>
      <c r="E1616" s="2" t="str">
        <f>HYPERLINK("http://www.intercariforef.org/formations/certification-85748.html","85748")</f>
        <v>85748</v>
      </c>
      <c r="F1616" s="3">
        <v>42277</v>
      </c>
      <c r="G1616" s="3">
        <v>42277</v>
      </c>
    </row>
    <row r="1617" spans="1:7" x14ac:dyDescent="0.3">
      <c r="A1617" s="1" t="s">
        <v>2033</v>
      </c>
      <c r="B1617" s="1" t="s">
        <v>2094</v>
      </c>
      <c r="C1617" s="1" t="s">
        <v>2095</v>
      </c>
      <c r="D1617" s="2" t="str">
        <f>HYPERLINK("https://inventaire.cncp.gouv.fr/fiches/3219/","3219")</f>
        <v>3219</v>
      </c>
      <c r="E1617" s="2" t="str">
        <f>HYPERLINK("http://www.intercariforef.org/formations/certification-102647.html","102647")</f>
        <v>102647</v>
      </c>
      <c r="F1617" s="3">
        <v>43299</v>
      </c>
      <c r="G1617" s="3">
        <v>43299</v>
      </c>
    </row>
    <row r="1618" spans="1:7" x14ac:dyDescent="0.3">
      <c r="A1618" s="1" t="s">
        <v>2033</v>
      </c>
      <c r="B1618" s="1" t="s">
        <v>2096</v>
      </c>
      <c r="C1618" s="1" t="s">
        <v>2097</v>
      </c>
      <c r="D1618" s="2" t="str">
        <f>HYPERLINK("https://inventaire.cncp.gouv.fr/fiches/2464/","2464")</f>
        <v>2464</v>
      </c>
      <c r="E1618" s="2" t="str">
        <f>HYPERLINK("http://www.intercariforef.org/formations/certification-100207.html","100207")</f>
        <v>100207</v>
      </c>
      <c r="F1618" s="3">
        <v>43154</v>
      </c>
      <c r="G1618" s="3">
        <v>43154</v>
      </c>
    </row>
    <row r="1619" spans="1:7" x14ac:dyDescent="0.3">
      <c r="A1619" s="1" t="s">
        <v>2033</v>
      </c>
      <c r="B1619" s="1" t="s">
        <v>2098</v>
      </c>
      <c r="C1619" s="1" t="s">
        <v>2099</v>
      </c>
      <c r="D1619" s="2" t="str">
        <f>HYPERLINK("https://inventaire.cncp.gouv.fr/fiches/3175/","3175")</f>
        <v>3175</v>
      </c>
      <c r="E1619" s="2" t="str">
        <f>HYPERLINK("http://www.intercariforef.org/formations/certification-100123.html","100123")</f>
        <v>100123</v>
      </c>
      <c r="F1619" s="3">
        <v>43153</v>
      </c>
      <c r="G1619" s="3">
        <v>43153</v>
      </c>
    </row>
    <row r="1620" spans="1:7" x14ac:dyDescent="0.3">
      <c r="A1620" s="1" t="s">
        <v>2033</v>
      </c>
      <c r="B1620" s="1" t="s">
        <v>2100</v>
      </c>
      <c r="C1620" s="1" t="s">
        <v>1764</v>
      </c>
      <c r="D1620" s="2" t="str">
        <f>HYPERLINK("https://inventaire.cncp.gouv.fr/fiches/1038/","1038")</f>
        <v>1038</v>
      </c>
      <c r="E1620" s="2" t="str">
        <f>HYPERLINK("http://www.intercariforef.org/formations/certification-85557.html","85557")</f>
        <v>85557</v>
      </c>
      <c r="F1620" s="3">
        <v>42269</v>
      </c>
      <c r="G1620" s="3">
        <v>43125</v>
      </c>
    </row>
    <row r="1621" spans="1:7" x14ac:dyDescent="0.3">
      <c r="A1621" s="1" t="s">
        <v>2033</v>
      </c>
      <c r="B1621" s="1" t="s">
        <v>2101</v>
      </c>
      <c r="C1621" s="1" t="s">
        <v>1764</v>
      </c>
      <c r="D1621" s="2" t="str">
        <f>HYPERLINK("https://inventaire.cncp.gouv.fr/fiches/1040/","1040")</f>
        <v>1040</v>
      </c>
      <c r="E1621" s="2" t="str">
        <f>HYPERLINK("http://www.intercariforef.org/formations/certification-85551.html","85551")</f>
        <v>85551</v>
      </c>
      <c r="F1621" s="3">
        <v>42269</v>
      </c>
      <c r="G1621" s="3">
        <v>43125</v>
      </c>
    </row>
    <row r="1622" spans="1:7" x14ac:dyDescent="0.3">
      <c r="A1622" s="1" t="s">
        <v>2033</v>
      </c>
      <c r="B1622" s="1" t="s">
        <v>2102</v>
      </c>
      <c r="C1622" s="1" t="s">
        <v>17</v>
      </c>
      <c r="D1622" s="2" t="str">
        <f>HYPERLINK("https://inventaire.cncp.gouv.fr/fiches/727/","727")</f>
        <v>727</v>
      </c>
      <c r="E1622" s="2" t="str">
        <f>HYPERLINK("http://www.intercariforef.org/formations/certification-84739.html","84739")</f>
        <v>84739</v>
      </c>
      <c r="F1622" s="3">
        <v>42156</v>
      </c>
      <c r="G1622" s="3">
        <v>42156</v>
      </c>
    </row>
    <row r="1623" spans="1:7" x14ac:dyDescent="0.3">
      <c r="A1623" s="1" t="s">
        <v>2033</v>
      </c>
      <c r="B1623" s="1" t="s">
        <v>2103</v>
      </c>
      <c r="C1623" s="1" t="s">
        <v>413</v>
      </c>
      <c r="D1623" s="2" t="str">
        <f>HYPERLINK("https://inventaire.cncp.gouv.fr/fiches/3549/","3549")</f>
        <v>3549</v>
      </c>
      <c r="E1623" s="2" t="str">
        <f>HYPERLINK("http://www.intercariforef.org/formations/certification-104167.html","104167")</f>
        <v>104167</v>
      </c>
      <c r="F1623" s="3">
        <v>43398</v>
      </c>
      <c r="G1623" s="3">
        <v>43398</v>
      </c>
    </row>
    <row r="1624" spans="1:7" x14ac:dyDescent="0.3">
      <c r="A1624" s="1" t="s">
        <v>2033</v>
      </c>
      <c r="B1624" s="1" t="s">
        <v>2104</v>
      </c>
      <c r="C1624" s="1" t="s">
        <v>2097</v>
      </c>
      <c r="D1624" s="2" t="str">
        <f>HYPERLINK("https://inventaire.cncp.gouv.fr/fiches/2453/","2453")</f>
        <v>2453</v>
      </c>
      <c r="E1624" s="2" t="str">
        <f>HYPERLINK("http://www.intercariforef.org/formations/certification-93815.html","93815")</f>
        <v>93815</v>
      </c>
      <c r="F1624" s="3">
        <v>42740</v>
      </c>
      <c r="G1624" s="3">
        <v>42740</v>
      </c>
    </row>
    <row r="1625" spans="1:7" x14ac:dyDescent="0.3">
      <c r="A1625" s="1" t="s">
        <v>2033</v>
      </c>
      <c r="B1625" s="1" t="s">
        <v>2105</v>
      </c>
      <c r="C1625" s="1" t="s">
        <v>2097</v>
      </c>
      <c r="D1625" s="2" t="str">
        <f>HYPERLINK("https://inventaire.cncp.gouv.fr/fiches/2926/","2926")</f>
        <v>2926</v>
      </c>
      <c r="E1625" s="2" t="str">
        <f>HYPERLINK("http://www.intercariforef.org/formations/certification-96541.html","96541")</f>
        <v>96541</v>
      </c>
      <c r="F1625" s="3">
        <v>42928</v>
      </c>
      <c r="G1625" s="3">
        <v>42928</v>
      </c>
    </row>
    <row r="1626" spans="1:7" x14ac:dyDescent="0.3">
      <c r="A1626" s="1" t="s">
        <v>2033</v>
      </c>
      <c r="B1626" s="1" t="s">
        <v>2106</v>
      </c>
      <c r="C1626" s="1" t="s">
        <v>2097</v>
      </c>
      <c r="D1626" s="2" t="str">
        <f>HYPERLINK("https://inventaire.cncp.gouv.fr/fiches/2928/","2928")</f>
        <v>2928</v>
      </c>
      <c r="E1626" s="2" t="str">
        <f>HYPERLINK("http://www.intercariforef.org/formations/certification-96539.html","96539")</f>
        <v>96539</v>
      </c>
      <c r="F1626" s="3">
        <v>42928</v>
      </c>
      <c r="G1626" s="3">
        <v>42928</v>
      </c>
    </row>
    <row r="1627" spans="1:7" x14ac:dyDescent="0.3">
      <c r="A1627" s="1" t="s">
        <v>2033</v>
      </c>
      <c r="B1627" s="1" t="s">
        <v>2107</v>
      </c>
      <c r="C1627" s="1" t="s">
        <v>405</v>
      </c>
      <c r="D1627" s="2" t="str">
        <f>HYPERLINK("https://inventaire.cncp.gouv.fr/fiches/3499/","3499")</f>
        <v>3499</v>
      </c>
      <c r="E1627" s="2" t="str">
        <f>HYPERLINK("http://www.intercariforef.org/formations/certification-100633.html","100633")</f>
        <v>100633</v>
      </c>
      <c r="F1627" s="3">
        <v>43193</v>
      </c>
      <c r="G1627" s="3">
        <v>43193</v>
      </c>
    </row>
    <row r="1628" spans="1:7" x14ac:dyDescent="0.3">
      <c r="A1628" s="1" t="s">
        <v>2033</v>
      </c>
      <c r="B1628" s="1" t="s">
        <v>2108</v>
      </c>
      <c r="C1628" s="1" t="s">
        <v>2109</v>
      </c>
      <c r="D1628" s="2" t="str">
        <f>HYPERLINK("https://inventaire.cncp.gouv.fr/fiches/3669/","3669")</f>
        <v>3669</v>
      </c>
      <c r="E1628" s="2" t="str">
        <f>HYPERLINK("http://www.intercariforef.org/formations/certification-102685.html","102685")</f>
        <v>102685</v>
      </c>
      <c r="F1628" s="3">
        <v>43301</v>
      </c>
      <c r="G1628" s="3">
        <v>43301</v>
      </c>
    </row>
    <row r="1629" spans="1:7" ht="157.1" x14ac:dyDescent="0.3">
      <c r="A1629" s="1" t="s">
        <v>2033</v>
      </c>
      <c r="B1629" s="1" t="s">
        <v>2110</v>
      </c>
      <c r="C1629" s="1" t="s">
        <v>2111</v>
      </c>
      <c r="D1629" s="2" t="str">
        <f>HYPERLINK("https://inventaire.cncp.gouv.fr/fiches/2573/","2573")</f>
        <v>2573</v>
      </c>
      <c r="E1629" s="2" t="str">
        <f>HYPERLINK("http://www.intercariforef.org/formations/certification-55521.html","55521")</f>
        <v>55521</v>
      </c>
      <c r="F1629" s="3">
        <v>39409</v>
      </c>
      <c r="G1629" s="3">
        <v>43360</v>
      </c>
    </row>
    <row r="1630" spans="1:7" ht="157.1" x14ac:dyDescent="0.3">
      <c r="A1630" s="1" t="s">
        <v>2033</v>
      </c>
      <c r="B1630" s="1" t="s">
        <v>2112</v>
      </c>
      <c r="C1630" s="1" t="s">
        <v>2113</v>
      </c>
      <c r="D1630" s="2" t="str">
        <f>HYPERLINK("https://inventaire.cncp.gouv.fr/fiches/2574/","2574")</f>
        <v>2574</v>
      </c>
      <c r="E1630" s="2" t="str">
        <f>HYPERLINK("http://www.intercariforef.org/formations/certification-50872.html","50872")</f>
        <v>50872</v>
      </c>
      <c r="F1630" s="3">
        <v>38443</v>
      </c>
      <c r="G1630" s="3">
        <v>43360</v>
      </c>
    </row>
    <row r="1631" spans="1:7" ht="405.85" x14ac:dyDescent="0.3">
      <c r="A1631" s="1" t="s">
        <v>2033</v>
      </c>
      <c r="B1631" s="1" t="s">
        <v>2114</v>
      </c>
      <c r="C1631" s="1" t="s">
        <v>2115</v>
      </c>
      <c r="D1631" s="2" t="str">
        <f>HYPERLINK("https://inventaire.cncp.gouv.fr/fiches/2387/","2387")</f>
        <v>2387</v>
      </c>
      <c r="E1631" s="2" t="str">
        <f>HYPERLINK("http://www.intercariforef.org/formations/certification-56306.html","56306")</f>
        <v>56306</v>
      </c>
      <c r="F1631" s="3">
        <v>38443</v>
      </c>
      <c r="G1631" s="3">
        <v>43360</v>
      </c>
    </row>
    <row r="1632" spans="1:7" x14ac:dyDescent="0.3">
      <c r="A1632" s="1" t="s">
        <v>2033</v>
      </c>
      <c r="B1632" s="1" t="s">
        <v>2116</v>
      </c>
      <c r="C1632" s="1" t="s">
        <v>812</v>
      </c>
      <c r="D1632" s="2" t="str">
        <f>HYPERLINK("https://inventaire.cncp.gouv.fr/fiches/1903/","1903")</f>
        <v>1903</v>
      </c>
      <c r="E1632" s="2" t="str">
        <f>HYPERLINK("http://www.intercariforef.org/formations/certification-88517.html","88517")</f>
        <v>88517</v>
      </c>
      <c r="F1632" s="3">
        <v>42466</v>
      </c>
      <c r="G1632" s="3">
        <v>42979</v>
      </c>
    </row>
    <row r="1633" spans="1:7" x14ac:dyDescent="0.3">
      <c r="A1633" s="1" t="s">
        <v>2033</v>
      </c>
      <c r="B1633" s="1" t="s">
        <v>2117</v>
      </c>
      <c r="C1633" s="1" t="s">
        <v>2118</v>
      </c>
      <c r="D1633" s="2" t="str">
        <f>HYPERLINK("https://inventaire.cncp.gouv.fr/fiches/1768/","1768")</f>
        <v>1768</v>
      </c>
      <c r="E1633" s="2" t="str">
        <f>HYPERLINK("http://www.intercariforef.org/formations/certification-87633.html","87633")</f>
        <v>87633</v>
      </c>
      <c r="F1633" s="3">
        <v>42415</v>
      </c>
      <c r="G1633" s="3">
        <v>42979</v>
      </c>
    </row>
    <row r="1634" spans="1:7" x14ac:dyDescent="0.3">
      <c r="A1634" s="1" t="s">
        <v>2033</v>
      </c>
      <c r="B1634" s="1" t="s">
        <v>2119</v>
      </c>
      <c r="C1634" s="1" t="s">
        <v>75</v>
      </c>
      <c r="D1634" s="2" t="str">
        <f>HYPERLINK("https://inventaire.cncp.gouv.fr/fiches/3405/","3405")</f>
        <v>3405</v>
      </c>
      <c r="E1634" s="2" t="str">
        <f>HYPERLINK("http://www.intercariforef.org/formations/certification-102643.html","102643")</f>
        <v>102643</v>
      </c>
      <c r="F1634" s="3">
        <v>43299</v>
      </c>
      <c r="G1634" s="3">
        <v>43299</v>
      </c>
    </row>
    <row r="1635" spans="1:7" ht="26.2" x14ac:dyDescent="0.3">
      <c r="A1635" s="1" t="s">
        <v>2033</v>
      </c>
      <c r="B1635" s="1" t="s">
        <v>2120</v>
      </c>
      <c r="C1635" s="1" t="s">
        <v>2082</v>
      </c>
      <c r="D1635" s="2" t="str">
        <f>HYPERLINK("https://inventaire.cncp.gouv.fr/fiches/1399/","1399")</f>
        <v>1399</v>
      </c>
      <c r="E1635" s="2" t="str">
        <f>HYPERLINK("http://www.intercariforef.org/formations/certification-55515.html","55515")</f>
        <v>55515</v>
      </c>
      <c r="F1635" s="3">
        <v>39408</v>
      </c>
      <c r="G1635" s="3">
        <v>42394</v>
      </c>
    </row>
    <row r="1636" spans="1:7" ht="26.2" x14ac:dyDescent="0.3">
      <c r="A1636" s="1" t="s">
        <v>2033</v>
      </c>
      <c r="B1636" s="1" t="s">
        <v>2121</v>
      </c>
      <c r="C1636" s="1" t="s">
        <v>2082</v>
      </c>
      <c r="D1636" s="2" t="str">
        <f>HYPERLINK("https://inventaire.cncp.gouv.fr/fiches/1401/","1401")</f>
        <v>1401</v>
      </c>
      <c r="E1636" s="2" t="str">
        <f>HYPERLINK("http://www.intercariforef.org/formations/certification-55516.html","55516")</f>
        <v>55516</v>
      </c>
      <c r="F1636" s="3">
        <v>39408</v>
      </c>
      <c r="G1636" s="3">
        <v>42394</v>
      </c>
    </row>
    <row r="1637" spans="1:7" ht="26.2" x14ac:dyDescent="0.3">
      <c r="A1637" s="1" t="s">
        <v>2033</v>
      </c>
      <c r="B1637" s="1" t="s">
        <v>2122</v>
      </c>
      <c r="C1637" s="1" t="s">
        <v>2082</v>
      </c>
      <c r="D1637" s="2" t="str">
        <f>HYPERLINK("https://inventaire.cncp.gouv.fr/fiches/1402/","1402")</f>
        <v>1402</v>
      </c>
      <c r="E1637" s="2" t="str">
        <f>HYPERLINK("http://www.intercariforef.org/formations/certification-55517.html","55517")</f>
        <v>55517</v>
      </c>
      <c r="F1637" s="3">
        <v>39408</v>
      </c>
      <c r="G1637" s="3">
        <v>42394</v>
      </c>
    </row>
    <row r="1638" spans="1:7" x14ac:dyDescent="0.3">
      <c r="A1638" s="1" t="s">
        <v>2033</v>
      </c>
      <c r="B1638" s="1" t="s">
        <v>2123</v>
      </c>
      <c r="C1638" s="1" t="s">
        <v>2041</v>
      </c>
      <c r="D1638" s="2" t="str">
        <f>HYPERLINK("https://inventaire.cncp.gouv.fr/fiches/2480/","2480")</f>
        <v>2480</v>
      </c>
      <c r="E1638" s="2" t="str">
        <f>HYPERLINK("http://www.intercariforef.org/formations/certification-97097.html","97097")</f>
        <v>97097</v>
      </c>
      <c r="F1638" s="3">
        <v>42978</v>
      </c>
      <c r="G1638" s="3">
        <v>43111</v>
      </c>
    </row>
    <row r="1639" spans="1:7" x14ac:dyDescent="0.3">
      <c r="A1639" s="1" t="s">
        <v>2033</v>
      </c>
      <c r="B1639" s="1" t="s">
        <v>2124</v>
      </c>
      <c r="C1639" s="1" t="s">
        <v>2041</v>
      </c>
      <c r="D1639" s="2" t="str">
        <f>HYPERLINK("https://inventaire.cncp.gouv.fr/fiches/2481/","2481")</f>
        <v>2481</v>
      </c>
      <c r="E1639" s="2" t="str">
        <f>HYPERLINK("http://www.intercariforef.org/formations/certification-97095.html","97095")</f>
        <v>97095</v>
      </c>
      <c r="F1639" s="3">
        <v>42978</v>
      </c>
      <c r="G1639" s="3">
        <v>43111</v>
      </c>
    </row>
    <row r="1640" spans="1:7" x14ac:dyDescent="0.3">
      <c r="A1640" s="1" t="s">
        <v>2033</v>
      </c>
      <c r="B1640" s="1" t="s">
        <v>2125</v>
      </c>
      <c r="C1640" s="1" t="s">
        <v>70</v>
      </c>
      <c r="D1640" s="2" t="str">
        <f>HYPERLINK("https://inventaire.cncp.gouv.fr/fiches/512/","512")</f>
        <v>512</v>
      </c>
      <c r="E1640" s="2" t="str">
        <f>HYPERLINK("http://www.intercariforef.org/formations/certification-84703.html","84703")</f>
        <v>84703</v>
      </c>
      <c r="F1640" s="3">
        <v>42156</v>
      </c>
      <c r="G1640" s="3">
        <v>43111</v>
      </c>
    </row>
    <row r="1641" spans="1:7" x14ac:dyDescent="0.3">
      <c r="A1641" s="1" t="s">
        <v>2033</v>
      </c>
      <c r="B1641" s="1" t="s">
        <v>2126</v>
      </c>
      <c r="C1641" s="1" t="s">
        <v>70</v>
      </c>
      <c r="D1641" s="2" t="str">
        <f>HYPERLINK("https://inventaire.cncp.gouv.fr/fiches/524/","524")</f>
        <v>524</v>
      </c>
      <c r="E1641" s="2" t="str">
        <f>HYPERLINK("http://www.intercariforef.org/formations/certification-84708.html","84708")</f>
        <v>84708</v>
      </c>
      <c r="F1641" s="3">
        <v>42156</v>
      </c>
      <c r="G1641" s="3">
        <v>43111</v>
      </c>
    </row>
    <row r="1642" spans="1:7" x14ac:dyDescent="0.3">
      <c r="A1642" s="1" t="s">
        <v>2033</v>
      </c>
      <c r="B1642" s="1" t="s">
        <v>2127</v>
      </c>
      <c r="C1642" s="1" t="s">
        <v>70</v>
      </c>
      <c r="D1642" s="2" t="str">
        <f>HYPERLINK("https://inventaire.cncp.gouv.fr/fiches/515/","515")</f>
        <v>515</v>
      </c>
      <c r="E1642" s="2" t="str">
        <f>HYPERLINK("http://www.intercariforef.org/formations/certification-84704.html","84704")</f>
        <v>84704</v>
      </c>
      <c r="F1642" s="3">
        <v>42156</v>
      </c>
      <c r="G1642" s="3">
        <v>43111</v>
      </c>
    </row>
    <row r="1643" spans="1:7" x14ac:dyDescent="0.3">
      <c r="A1643" s="1" t="s">
        <v>2033</v>
      </c>
      <c r="B1643" s="1" t="s">
        <v>2128</v>
      </c>
      <c r="C1643" s="1" t="s">
        <v>70</v>
      </c>
      <c r="D1643" s="2" t="str">
        <f>HYPERLINK("https://inventaire.cncp.gouv.fr/fiches/516/","516")</f>
        <v>516</v>
      </c>
      <c r="E1643" s="2" t="str">
        <f>HYPERLINK("http://www.intercariforef.org/formations/certification-84705.html","84705")</f>
        <v>84705</v>
      </c>
      <c r="F1643" s="3">
        <v>42156</v>
      </c>
      <c r="G1643" s="3">
        <v>43111</v>
      </c>
    </row>
    <row r="1644" spans="1:7" x14ac:dyDescent="0.3">
      <c r="A1644" s="1" t="s">
        <v>2033</v>
      </c>
      <c r="B1644" s="1" t="s">
        <v>2129</v>
      </c>
      <c r="C1644" s="1" t="s">
        <v>70</v>
      </c>
      <c r="D1644" s="2" t="str">
        <f>HYPERLINK("https://inventaire.cncp.gouv.fr/fiches/528/","528")</f>
        <v>528</v>
      </c>
      <c r="E1644" s="2" t="str">
        <f>HYPERLINK("http://www.intercariforef.org/formations/certification-84710.html","84710")</f>
        <v>84710</v>
      </c>
      <c r="F1644" s="3">
        <v>42156</v>
      </c>
      <c r="G1644" s="3">
        <v>43111</v>
      </c>
    </row>
    <row r="1645" spans="1:7" x14ac:dyDescent="0.3">
      <c r="A1645" s="1" t="s">
        <v>2033</v>
      </c>
      <c r="B1645" s="1" t="s">
        <v>2130</v>
      </c>
      <c r="C1645" s="1" t="s">
        <v>70</v>
      </c>
      <c r="D1645" s="2" t="str">
        <f>HYPERLINK("https://inventaire.cncp.gouv.fr/fiches/527/","527")</f>
        <v>527</v>
      </c>
      <c r="E1645" s="2" t="str">
        <f>HYPERLINK("http://www.intercariforef.org/formations/certification-84707.html","84707")</f>
        <v>84707</v>
      </c>
      <c r="F1645" s="3">
        <v>42156</v>
      </c>
      <c r="G1645" s="3">
        <v>43111</v>
      </c>
    </row>
    <row r="1646" spans="1:7" x14ac:dyDescent="0.3">
      <c r="A1646" s="1" t="s">
        <v>2033</v>
      </c>
      <c r="B1646" s="1" t="s">
        <v>2131</v>
      </c>
      <c r="C1646" s="1" t="s">
        <v>70</v>
      </c>
      <c r="D1646" s="2" t="str">
        <f>HYPERLINK("https://inventaire.cncp.gouv.fr/fiches/526/","526")</f>
        <v>526</v>
      </c>
      <c r="E1646" s="2" t="str">
        <f>HYPERLINK("http://www.intercariforef.org/formations/certification-84709.html","84709")</f>
        <v>84709</v>
      </c>
      <c r="F1646" s="3">
        <v>42156</v>
      </c>
      <c r="G1646" s="3">
        <v>43111</v>
      </c>
    </row>
    <row r="1647" spans="1:7" x14ac:dyDescent="0.3">
      <c r="A1647" s="1" t="s">
        <v>2033</v>
      </c>
      <c r="B1647" s="1" t="s">
        <v>2132</v>
      </c>
      <c r="C1647" s="1" t="s">
        <v>70</v>
      </c>
      <c r="D1647" s="2" t="str">
        <f>HYPERLINK("https://inventaire.cncp.gouv.fr/fiches/521/","521")</f>
        <v>521</v>
      </c>
      <c r="E1647" s="2" t="str">
        <f>HYPERLINK("http://www.intercariforef.org/formations/certification-84706.html","84706")</f>
        <v>84706</v>
      </c>
      <c r="F1647" s="3">
        <v>42156</v>
      </c>
      <c r="G1647" s="3">
        <v>43111</v>
      </c>
    </row>
    <row r="1648" spans="1:7" x14ac:dyDescent="0.3">
      <c r="A1648" s="1" t="s">
        <v>2033</v>
      </c>
      <c r="B1648" s="1" t="s">
        <v>2133</v>
      </c>
      <c r="C1648" s="1" t="s">
        <v>70</v>
      </c>
      <c r="D1648" s="2" t="str">
        <f>HYPERLINK("https://inventaire.cncp.gouv.fr/fiches/529/","529")</f>
        <v>529</v>
      </c>
      <c r="E1648" s="2" t="str">
        <f>HYPERLINK("http://www.intercariforef.org/formations/certification-84711.html","84711")</f>
        <v>84711</v>
      </c>
      <c r="F1648" s="3">
        <v>42156</v>
      </c>
      <c r="G1648" s="3">
        <v>43111</v>
      </c>
    </row>
    <row r="1649" spans="1:7" x14ac:dyDescent="0.3">
      <c r="A1649" s="1" t="s">
        <v>2033</v>
      </c>
      <c r="B1649" s="1" t="s">
        <v>2134</v>
      </c>
      <c r="C1649" s="1" t="s">
        <v>70</v>
      </c>
      <c r="D1649" s="2" t="str">
        <f>HYPERLINK("https://inventaire.cncp.gouv.fr/fiches/531/","531")</f>
        <v>531</v>
      </c>
      <c r="E1649" s="2" t="str">
        <f>HYPERLINK("http://www.intercariforef.org/formations/certification-84712.html","84712")</f>
        <v>84712</v>
      </c>
      <c r="F1649" s="3">
        <v>42156</v>
      </c>
      <c r="G1649" s="3">
        <v>43111</v>
      </c>
    </row>
    <row r="1650" spans="1:7" ht="26.2" x14ac:dyDescent="0.3">
      <c r="A1650" s="1" t="s">
        <v>2135</v>
      </c>
      <c r="B1650" s="1" t="s">
        <v>2136</v>
      </c>
      <c r="C1650" s="1" t="s">
        <v>2137</v>
      </c>
      <c r="D1650" s="2" t="str">
        <f>HYPERLINK("https://inventaire.cncp.gouv.fr/fiches/2569/","2569")</f>
        <v>2569</v>
      </c>
      <c r="E1650" s="2" t="str">
        <f>HYPERLINK("http://www.intercariforef.org/formations/certification-95237.html","95237")</f>
        <v>95237</v>
      </c>
      <c r="F1650" s="3">
        <v>42851</v>
      </c>
      <c r="G1650" s="3">
        <v>42851</v>
      </c>
    </row>
    <row r="1651" spans="1:7" x14ac:dyDescent="0.3">
      <c r="A1651" s="1" t="s">
        <v>2138</v>
      </c>
      <c r="B1651" s="1" t="s">
        <v>2139</v>
      </c>
      <c r="C1651" s="1" t="s">
        <v>602</v>
      </c>
      <c r="D1651" s="2" t="str">
        <f>HYPERLINK("https://inventaire.cncp.gouv.fr/fiches/1476/","1476")</f>
        <v>1476</v>
      </c>
      <c r="E1651" s="2" t="str">
        <f>HYPERLINK("http://www.intercariforef.org/formations/certification-88535.html","88535")</f>
        <v>88535</v>
      </c>
      <c r="F1651" s="3">
        <v>42467</v>
      </c>
      <c r="G1651" s="3">
        <v>42979</v>
      </c>
    </row>
    <row r="1652" spans="1:7" x14ac:dyDescent="0.3">
      <c r="A1652" s="1" t="s">
        <v>2138</v>
      </c>
      <c r="B1652" s="1" t="s">
        <v>2140</v>
      </c>
      <c r="C1652" s="1" t="s">
        <v>602</v>
      </c>
      <c r="D1652" s="2" t="str">
        <f>HYPERLINK("https://inventaire.cncp.gouv.fr/fiches/1428/","1428")</f>
        <v>1428</v>
      </c>
      <c r="E1652" s="2" t="str">
        <f>HYPERLINK("http://www.intercariforef.org/formations/certification-88527.html","88527")</f>
        <v>88527</v>
      </c>
      <c r="F1652" s="3">
        <v>42467</v>
      </c>
      <c r="G1652" s="3">
        <v>42979</v>
      </c>
    </row>
    <row r="1653" spans="1:7" x14ac:dyDescent="0.3">
      <c r="A1653" s="1" t="s">
        <v>2138</v>
      </c>
      <c r="B1653" s="1" t="s">
        <v>2141</v>
      </c>
      <c r="C1653" s="1" t="s">
        <v>359</v>
      </c>
      <c r="D1653" s="2" t="str">
        <f>HYPERLINK("https://inventaire.cncp.gouv.fr/fiches/1986/","1986")</f>
        <v>1986</v>
      </c>
      <c r="E1653" s="2" t="str">
        <f>HYPERLINK("http://www.intercariforef.org/formations/certification-89189.html","89189")</f>
        <v>89189</v>
      </c>
      <c r="F1653" s="3">
        <v>42521</v>
      </c>
      <c r="G1653" s="3">
        <v>42521</v>
      </c>
    </row>
    <row r="1654" spans="1:7" x14ac:dyDescent="0.3">
      <c r="A1654" s="1" t="s">
        <v>2138</v>
      </c>
      <c r="B1654" s="1" t="s">
        <v>2142</v>
      </c>
      <c r="C1654" s="1" t="s">
        <v>359</v>
      </c>
      <c r="D1654" s="2" t="str">
        <f>HYPERLINK("https://inventaire.cncp.gouv.fr/fiches/1985/","1985")</f>
        <v>1985</v>
      </c>
      <c r="E1654" s="2" t="str">
        <f>HYPERLINK("http://www.intercariforef.org/formations/certification-89191.html","89191")</f>
        <v>89191</v>
      </c>
      <c r="F1654" s="3">
        <v>42521</v>
      </c>
      <c r="G1654" s="3">
        <v>42521</v>
      </c>
    </row>
    <row r="1655" spans="1:7" x14ac:dyDescent="0.3">
      <c r="A1655" s="1" t="s">
        <v>2138</v>
      </c>
      <c r="B1655" s="1" t="s">
        <v>2143</v>
      </c>
      <c r="C1655" s="1" t="s">
        <v>359</v>
      </c>
      <c r="D1655" s="2" t="str">
        <f>HYPERLINK("https://inventaire.cncp.gouv.fr/fiches/1984/","1984")</f>
        <v>1984</v>
      </c>
      <c r="E1655" s="2" t="str">
        <f>HYPERLINK("http://www.intercariforef.org/formations/certification-89187.html","89187")</f>
        <v>89187</v>
      </c>
      <c r="F1655" s="3">
        <v>42521</v>
      </c>
      <c r="G1655" s="3">
        <v>42521</v>
      </c>
    </row>
    <row r="1656" spans="1:7" x14ac:dyDescent="0.3">
      <c r="A1656" s="1" t="s">
        <v>2138</v>
      </c>
      <c r="B1656" s="1" t="s">
        <v>2144</v>
      </c>
      <c r="C1656" s="1" t="s">
        <v>359</v>
      </c>
      <c r="D1656" s="2" t="str">
        <f>HYPERLINK("https://inventaire.cncp.gouv.fr/fiches/1976/","1976")</f>
        <v>1976</v>
      </c>
      <c r="E1656" s="2" t="str">
        <f>HYPERLINK("http://www.intercariforef.org/formations/certification-89193.html","89193")</f>
        <v>89193</v>
      </c>
      <c r="F1656" s="3">
        <v>42521</v>
      </c>
      <c r="G1656" s="3">
        <v>42521</v>
      </c>
    </row>
    <row r="1657" spans="1:7" x14ac:dyDescent="0.3">
      <c r="A1657" s="1" t="s">
        <v>2138</v>
      </c>
      <c r="B1657" s="1" t="s">
        <v>2145</v>
      </c>
      <c r="C1657" s="1" t="s">
        <v>75</v>
      </c>
      <c r="D1657" s="2" t="str">
        <f>HYPERLINK("https://inventaire.cncp.gouv.fr/fiches/931/","931")</f>
        <v>931</v>
      </c>
      <c r="E1657" s="2" t="str">
        <f>HYPERLINK("http://www.intercariforef.org/formations/certification-85039.html","85039")</f>
        <v>85039</v>
      </c>
      <c r="F1657" s="3">
        <v>42185</v>
      </c>
      <c r="G1657" s="3">
        <v>42185</v>
      </c>
    </row>
    <row r="1658" spans="1:7" x14ac:dyDescent="0.3">
      <c r="A1658" s="1" t="s">
        <v>2138</v>
      </c>
      <c r="B1658" s="1" t="s">
        <v>2146</v>
      </c>
      <c r="C1658" s="1" t="s">
        <v>75</v>
      </c>
      <c r="D1658" s="2" t="str">
        <f>HYPERLINK("https://inventaire.cncp.gouv.fr/fiches/1013/","1013")</f>
        <v>1013</v>
      </c>
      <c r="E1658" s="2" t="str">
        <f>HYPERLINK("http://www.intercariforef.org/formations/certification-85041.html","85041")</f>
        <v>85041</v>
      </c>
      <c r="F1658" s="3">
        <v>42185</v>
      </c>
      <c r="G1658" s="3">
        <v>42185</v>
      </c>
    </row>
    <row r="1659" spans="1:7" x14ac:dyDescent="0.3">
      <c r="A1659" s="1" t="s">
        <v>2138</v>
      </c>
      <c r="B1659" s="1" t="s">
        <v>2147</v>
      </c>
      <c r="C1659" s="1" t="s">
        <v>75</v>
      </c>
      <c r="D1659" s="2" t="str">
        <f>HYPERLINK("https://inventaire.cncp.gouv.fr/fiches/1782/","1782")</f>
        <v>1782</v>
      </c>
      <c r="E1659" s="2" t="str">
        <f>HYPERLINK("http://www.intercariforef.org/formations/certification-94767.html","94767")</f>
        <v>94767</v>
      </c>
      <c r="F1659" s="3">
        <v>42832</v>
      </c>
      <c r="G1659" s="3">
        <v>42979</v>
      </c>
    </row>
    <row r="1660" spans="1:7" x14ac:dyDescent="0.3">
      <c r="A1660" s="1" t="s">
        <v>2138</v>
      </c>
      <c r="B1660" s="1" t="s">
        <v>2148</v>
      </c>
      <c r="C1660" s="1" t="s">
        <v>75</v>
      </c>
      <c r="D1660" s="2" t="str">
        <f>HYPERLINK("https://inventaire.cncp.gouv.fr/fiches/1747/","1747")</f>
        <v>1747</v>
      </c>
      <c r="E1660" s="2" t="str">
        <f>HYPERLINK("http://www.intercariforef.org/formations/certification-95257.html","95257")</f>
        <v>95257</v>
      </c>
      <c r="F1660" s="3">
        <v>42851</v>
      </c>
      <c r="G1660" s="3">
        <v>43152</v>
      </c>
    </row>
    <row r="1661" spans="1:7" x14ac:dyDescent="0.3">
      <c r="A1661" s="1" t="s">
        <v>2138</v>
      </c>
      <c r="B1661" s="1" t="s">
        <v>2149</v>
      </c>
      <c r="C1661" s="1" t="s">
        <v>75</v>
      </c>
      <c r="D1661" s="2" t="str">
        <f>HYPERLINK("https://inventaire.cncp.gouv.fr/fiches/1746/","1746")</f>
        <v>1746</v>
      </c>
      <c r="E1661" s="2" t="str">
        <f>HYPERLINK("http://www.intercariforef.org/formations/certification-95259.html","95259")</f>
        <v>95259</v>
      </c>
      <c r="F1661" s="3">
        <v>42851</v>
      </c>
      <c r="G1661" s="3">
        <v>43152</v>
      </c>
    </row>
    <row r="1662" spans="1:7" x14ac:dyDescent="0.3">
      <c r="A1662" s="1" t="s">
        <v>2138</v>
      </c>
      <c r="B1662" s="1" t="s">
        <v>2150</v>
      </c>
      <c r="C1662" s="1" t="s">
        <v>75</v>
      </c>
      <c r="D1662" s="2" t="str">
        <f>HYPERLINK("https://inventaire.cncp.gouv.fr/fiches/1757/","1757")</f>
        <v>1757</v>
      </c>
      <c r="E1662" s="2" t="str">
        <f>HYPERLINK("http://www.intercariforef.org/formations/certification-95255.html","95255")</f>
        <v>95255</v>
      </c>
      <c r="F1662" s="3">
        <v>42851</v>
      </c>
      <c r="G1662" s="3">
        <v>43152</v>
      </c>
    </row>
    <row r="1663" spans="1:7" ht="26.2" x14ac:dyDescent="0.3">
      <c r="A1663" s="1" t="s">
        <v>2138</v>
      </c>
      <c r="B1663" s="1" t="s">
        <v>2151</v>
      </c>
      <c r="C1663" s="1" t="s">
        <v>2152</v>
      </c>
      <c r="D1663" s="2" t="str">
        <f>HYPERLINK("https://inventaire.cncp.gouv.fr/fiches/2113/","2113")</f>
        <v>2113</v>
      </c>
      <c r="E1663" s="2" t="str">
        <f>HYPERLINK("http://www.intercariforef.org/formations/certification-56308.html","56308")</f>
        <v>56308</v>
      </c>
      <c r="F1663" s="3">
        <v>39450</v>
      </c>
      <c r="G1663" s="3">
        <v>43125</v>
      </c>
    </row>
    <row r="1664" spans="1:7" ht="26.2" x14ac:dyDescent="0.3">
      <c r="A1664" s="1" t="s">
        <v>2138</v>
      </c>
      <c r="B1664" s="1" t="s">
        <v>2153</v>
      </c>
      <c r="C1664" s="1" t="s">
        <v>2152</v>
      </c>
      <c r="D1664" s="2" t="str">
        <f>HYPERLINK("https://inventaire.cncp.gouv.fr/fiches/2113/","2113")</f>
        <v>2113</v>
      </c>
      <c r="E1664" s="2" t="str">
        <f>HYPERLINK("http://www.intercariforef.org/formations/certification-56309.html","56309")</f>
        <v>56309</v>
      </c>
      <c r="F1664" s="3">
        <v>39450</v>
      </c>
      <c r="G1664" s="3">
        <v>43125</v>
      </c>
    </row>
    <row r="1665" spans="1:7" ht="26.2" x14ac:dyDescent="0.3">
      <c r="A1665" s="1" t="s">
        <v>2138</v>
      </c>
      <c r="B1665" s="1" t="s">
        <v>2154</v>
      </c>
      <c r="C1665" s="1" t="s">
        <v>2152</v>
      </c>
      <c r="D1665" s="2" t="str">
        <f>HYPERLINK("https://inventaire.cncp.gouv.fr/fiches/2113/","2113")</f>
        <v>2113</v>
      </c>
      <c r="E1665" s="2" t="str">
        <f>HYPERLINK("http://www.intercariforef.org/formations/certification-56307.html","56307")</f>
        <v>56307</v>
      </c>
      <c r="F1665" s="3">
        <v>38443</v>
      </c>
      <c r="G1665" s="3">
        <v>43125</v>
      </c>
    </row>
    <row r="1666" spans="1:7" x14ac:dyDescent="0.3">
      <c r="A1666" s="1" t="s">
        <v>2138</v>
      </c>
      <c r="B1666" s="1" t="s">
        <v>2155</v>
      </c>
      <c r="C1666" s="1" t="s">
        <v>75</v>
      </c>
      <c r="D1666" s="2" t="str">
        <f>HYPERLINK("https://inventaire.cncp.gouv.fr/fiches/1862/","1862")</f>
        <v>1862</v>
      </c>
      <c r="E1666" s="2" t="str">
        <f>HYPERLINK("http://www.intercariforef.org/formations/certification-94097.html","94097")</f>
        <v>94097</v>
      </c>
      <c r="F1666" s="3">
        <v>42760</v>
      </c>
      <c r="G1666" s="3">
        <v>43152</v>
      </c>
    </row>
    <row r="1667" spans="1:7" x14ac:dyDescent="0.3">
      <c r="A1667" s="1" t="s">
        <v>2138</v>
      </c>
      <c r="B1667" s="1" t="s">
        <v>2156</v>
      </c>
      <c r="C1667" s="1" t="s">
        <v>75</v>
      </c>
      <c r="D1667" s="2" t="str">
        <f>HYPERLINK("https://inventaire.cncp.gouv.fr/fiches/1868/","1868")</f>
        <v>1868</v>
      </c>
      <c r="E1667" s="2" t="str">
        <f>HYPERLINK("http://www.intercariforef.org/formations/certification-93989.html","93989")</f>
        <v>93989</v>
      </c>
      <c r="F1667" s="3">
        <v>42745</v>
      </c>
      <c r="G1667" s="3">
        <v>43152</v>
      </c>
    </row>
    <row r="1668" spans="1:7" x14ac:dyDescent="0.3">
      <c r="A1668" s="1" t="s">
        <v>2138</v>
      </c>
      <c r="B1668" s="1" t="s">
        <v>2157</v>
      </c>
      <c r="C1668" s="1" t="s">
        <v>377</v>
      </c>
      <c r="D1668" s="2" t="str">
        <f>HYPERLINK("https://inventaire.cncp.gouv.fr/fiches/3817/","3817")</f>
        <v>3817</v>
      </c>
      <c r="E1668" s="2" t="str">
        <f>HYPERLINK("http://www.intercariforef.org/formations/certification-102157.html","102157")</f>
        <v>102157</v>
      </c>
      <c r="F1668" s="3">
        <v>43293</v>
      </c>
      <c r="G1668" s="3">
        <v>43293</v>
      </c>
    </row>
    <row r="1669" spans="1:7" x14ac:dyDescent="0.3">
      <c r="A1669" s="1" t="s">
        <v>2138</v>
      </c>
      <c r="B1669" s="1" t="s">
        <v>2158</v>
      </c>
      <c r="C1669" s="1" t="s">
        <v>75</v>
      </c>
      <c r="D1669" s="2" t="str">
        <f>HYPERLINK("https://inventaire.cncp.gouv.fr/fiches/4094/","4094")</f>
        <v>4094</v>
      </c>
      <c r="E1669" s="2" t="str">
        <f>HYPERLINK("http://www.intercariforef.org/formations/certification-103901.html","103901")</f>
        <v>103901</v>
      </c>
      <c r="F1669" s="3">
        <v>43390</v>
      </c>
      <c r="G1669" s="3">
        <v>43390</v>
      </c>
    </row>
    <row r="1670" spans="1:7" x14ac:dyDescent="0.3">
      <c r="A1670" s="1" t="s">
        <v>2138</v>
      </c>
      <c r="B1670" s="1" t="s">
        <v>2159</v>
      </c>
      <c r="C1670" s="1" t="s">
        <v>75</v>
      </c>
      <c r="D1670" s="2" t="str">
        <f>HYPERLINK("https://inventaire.cncp.gouv.fr/fiches/3982/","3982")</f>
        <v>3982</v>
      </c>
      <c r="E1670" s="2" t="str">
        <f>HYPERLINK("http://www.intercariforef.org/formations/certification-103915.html","103915")</f>
        <v>103915</v>
      </c>
      <c r="F1670" s="3">
        <v>43390</v>
      </c>
      <c r="G1670" s="3">
        <v>43390</v>
      </c>
    </row>
    <row r="1671" spans="1:7" x14ac:dyDescent="0.3">
      <c r="A1671" s="1" t="s">
        <v>2138</v>
      </c>
      <c r="B1671" s="1" t="s">
        <v>2160</v>
      </c>
      <c r="C1671" s="1" t="s">
        <v>361</v>
      </c>
      <c r="D1671" s="2" t="str">
        <f>HYPERLINK("https://inventaire.cncp.gouv.fr/fiches/1997/","1997")</f>
        <v>1997</v>
      </c>
      <c r="E1671" s="2" t="str">
        <f>HYPERLINK("http://www.intercariforef.org/formations/certification-89173.html","89173")</f>
        <v>89173</v>
      </c>
      <c r="F1671" s="3">
        <v>42521</v>
      </c>
      <c r="G1671" s="3">
        <v>42521</v>
      </c>
    </row>
    <row r="1672" spans="1:7" x14ac:dyDescent="0.3">
      <c r="A1672" s="1" t="s">
        <v>2138</v>
      </c>
      <c r="B1672" s="1" t="s">
        <v>2161</v>
      </c>
      <c r="C1672" s="1" t="s">
        <v>361</v>
      </c>
      <c r="D1672" s="2" t="str">
        <f>HYPERLINK("https://inventaire.cncp.gouv.fr/fiches/2009/","2009")</f>
        <v>2009</v>
      </c>
      <c r="E1672" s="2" t="str">
        <f>HYPERLINK("http://www.intercariforef.org/formations/certification-89167.html","89167")</f>
        <v>89167</v>
      </c>
      <c r="F1672" s="3">
        <v>42521</v>
      </c>
      <c r="G1672" s="3">
        <v>42521</v>
      </c>
    </row>
    <row r="1673" spans="1:7" x14ac:dyDescent="0.3">
      <c r="A1673" s="1" t="s">
        <v>2138</v>
      </c>
      <c r="B1673" s="1" t="s">
        <v>2162</v>
      </c>
      <c r="C1673" s="1" t="s">
        <v>628</v>
      </c>
      <c r="D1673" s="2" t="str">
        <f>HYPERLINK("https://inventaire.cncp.gouv.fr/fiches/3186/","3186")</f>
        <v>3186</v>
      </c>
      <c r="E1673" s="2" t="str">
        <f>HYPERLINK("http://www.intercariforef.org/formations/certification-99177.html","99177")</f>
        <v>99177</v>
      </c>
      <c r="F1673" s="3">
        <v>43076</v>
      </c>
      <c r="G1673" s="3">
        <v>43076</v>
      </c>
    </row>
    <row r="1674" spans="1:7" x14ac:dyDescent="0.3">
      <c r="A1674" s="1" t="s">
        <v>2138</v>
      </c>
      <c r="B1674" s="1" t="s">
        <v>2163</v>
      </c>
      <c r="C1674" s="1" t="s">
        <v>331</v>
      </c>
      <c r="D1674" s="2" t="str">
        <f>HYPERLINK("https://inventaire.cncp.gouv.fr/fiches/2906/","2906")</f>
        <v>2906</v>
      </c>
      <c r="E1674" s="2" t="str">
        <f>HYPERLINK("http://www.intercariforef.org/formations/certification-98633.html","98633")</f>
        <v>98633</v>
      </c>
      <c r="F1674" s="3">
        <v>43038</v>
      </c>
      <c r="G1674" s="3">
        <v>43038</v>
      </c>
    </row>
    <row r="1675" spans="1:7" ht="26.2" x14ac:dyDescent="0.3">
      <c r="A1675" s="1" t="s">
        <v>2138</v>
      </c>
      <c r="B1675" s="1" t="s">
        <v>2164</v>
      </c>
      <c r="C1675" s="1" t="s">
        <v>359</v>
      </c>
      <c r="D1675" s="2" t="str">
        <f>HYPERLINK("https://inventaire.cncp.gouv.fr/fiches/2426/","2426")</f>
        <v>2426</v>
      </c>
      <c r="E1675" s="2" t="str">
        <f>HYPERLINK("http://www.intercariforef.org/formations/certification-94165.html","94165")</f>
        <v>94165</v>
      </c>
      <c r="F1675" s="3">
        <v>42772</v>
      </c>
      <c r="G1675" s="3">
        <v>42772</v>
      </c>
    </row>
    <row r="1676" spans="1:7" x14ac:dyDescent="0.3">
      <c r="A1676" s="1" t="s">
        <v>2138</v>
      </c>
      <c r="B1676" s="1" t="s">
        <v>2165</v>
      </c>
      <c r="C1676" s="1" t="s">
        <v>1960</v>
      </c>
      <c r="D1676" s="2" t="str">
        <f>HYPERLINK("https://inventaire.cncp.gouv.fr/fiches/1306/","1306")</f>
        <v>1306</v>
      </c>
      <c r="E1676" s="2" t="str">
        <f>HYPERLINK("http://www.intercariforef.org/formations/certification-86220.html","86220")</f>
        <v>86220</v>
      </c>
      <c r="F1676" s="3">
        <v>42320</v>
      </c>
      <c r="G1676" s="3">
        <v>42320</v>
      </c>
    </row>
    <row r="1677" spans="1:7" x14ac:dyDescent="0.3">
      <c r="A1677" s="1" t="s">
        <v>2138</v>
      </c>
      <c r="B1677" s="1" t="s">
        <v>2166</v>
      </c>
      <c r="C1677" s="1" t="s">
        <v>359</v>
      </c>
      <c r="D1677" s="2" t="str">
        <f>HYPERLINK("https://inventaire.cncp.gouv.fr/fiches/657/","657")</f>
        <v>657</v>
      </c>
      <c r="E1677" s="2" t="str">
        <f>HYPERLINK("http://www.intercariforef.org/formations/certification-84947.html","84947")</f>
        <v>84947</v>
      </c>
      <c r="F1677" s="3">
        <v>42178</v>
      </c>
      <c r="G1677" s="3">
        <v>42178</v>
      </c>
    </row>
    <row r="1678" spans="1:7" x14ac:dyDescent="0.3">
      <c r="A1678" s="1" t="s">
        <v>2138</v>
      </c>
      <c r="B1678" s="1" t="s">
        <v>2167</v>
      </c>
      <c r="C1678" s="1" t="s">
        <v>359</v>
      </c>
      <c r="D1678" s="2" t="str">
        <f>HYPERLINK("https://inventaire.cncp.gouv.fr/fiches/669/","669")</f>
        <v>669</v>
      </c>
      <c r="E1678" s="2" t="str">
        <f>HYPERLINK("http://www.intercariforef.org/formations/certification-84949.html","84949")</f>
        <v>84949</v>
      </c>
      <c r="F1678" s="3">
        <v>42178</v>
      </c>
      <c r="G1678" s="3">
        <v>42178</v>
      </c>
    </row>
    <row r="1679" spans="1:7" x14ac:dyDescent="0.3">
      <c r="A1679" s="1" t="s">
        <v>2138</v>
      </c>
      <c r="B1679" s="1" t="s">
        <v>2168</v>
      </c>
      <c r="C1679" s="1" t="s">
        <v>359</v>
      </c>
      <c r="D1679" s="2" t="str">
        <f>HYPERLINK("https://inventaire.cncp.gouv.fr/fiches/670/","670")</f>
        <v>670</v>
      </c>
      <c r="E1679" s="2" t="str">
        <f>HYPERLINK("http://www.intercariforef.org/formations/certification-84956.html","84956")</f>
        <v>84956</v>
      </c>
      <c r="F1679" s="3">
        <v>42178</v>
      </c>
      <c r="G1679" s="3">
        <v>42178</v>
      </c>
    </row>
    <row r="1680" spans="1:7" ht="26.2" x14ac:dyDescent="0.3">
      <c r="A1680" s="1" t="s">
        <v>2138</v>
      </c>
      <c r="B1680" s="1" t="s">
        <v>2169</v>
      </c>
      <c r="C1680" s="1" t="s">
        <v>359</v>
      </c>
      <c r="D1680" s="2" t="str">
        <f>HYPERLINK("https://inventaire.cncp.gouv.fr/fiches/674/","674")</f>
        <v>674</v>
      </c>
      <c r="E1680" s="2" t="str">
        <f>HYPERLINK("http://www.intercariforef.org/formations/certification-84957.html","84957")</f>
        <v>84957</v>
      </c>
      <c r="F1680" s="3">
        <v>42178</v>
      </c>
      <c r="G1680" s="3">
        <v>42178</v>
      </c>
    </row>
    <row r="1681" spans="1:7" x14ac:dyDescent="0.3">
      <c r="A1681" s="1" t="s">
        <v>2138</v>
      </c>
      <c r="B1681" s="1" t="s">
        <v>2170</v>
      </c>
      <c r="C1681" s="1" t="s">
        <v>359</v>
      </c>
      <c r="D1681" s="2" t="str">
        <f>HYPERLINK("https://inventaire.cncp.gouv.fr/fiches/667/","667")</f>
        <v>667</v>
      </c>
      <c r="E1681" s="2" t="str">
        <f>HYPERLINK("http://www.intercariforef.org/formations/certification-84959.html","84959")</f>
        <v>84959</v>
      </c>
      <c r="F1681" s="3">
        <v>42178</v>
      </c>
      <c r="G1681" s="3">
        <v>42178</v>
      </c>
    </row>
    <row r="1682" spans="1:7" x14ac:dyDescent="0.3">
      <c r="A1682" s="1" t="s">
        <v>2138</v>
      </c>
      <c r="B1682" s="1" t="s">
        <v>2171</v>
      </c>
      <c r="C1682" s="1" t="s">
        <v>361</v>
      </c>
      <c r="D1682" s="2" t="str">
        <f>HYPERLINK("https://inventaire.cncp.gouv.fr/fiches/2280/","2280")</f>
        <v>2280</v>
      </c>
      <c r="E1682" s="2" t="str">
        <f>HYPERLINK("http://www.intercariforef.org/formations/certification-92055.html","92055")</f>
        <v>92055</v>
      </c>
      <c r="F1682" s="3">
        <v>42667</v>
      </c>
      <c r="G1682" s="3">
        <v>42667</v>
      </c>
    </row>
    <row r="1683" spans="1:7" x14ac:dyDescent="0.3">
      <c r="A1683" s="1" t="s">
        <v>2138</v>
      </c>
      <c r="B1683" s="1" t="s">
        <v>738</v>
      </c>
      <c r="C1683" s="1" t="s">
        <v>2172</v>
      </c>
      <c r="D1683" s="2" t="str">
        <f>HYPERLINK("https://inventaire.cncp.gouv.fr/fiches/736/","736")</f>
        <v>736</v>
      </c>
      <c r="E1683" s="2" t="str">
        <f>HYPERLINK("http://www.intercariforef.org/formations/certification-84975.html","84975")</f>
        <v>84975</v>
      </c>
      <c r="F1683" s="3">
        <v>42178</v>
      </c>
      <c r="G1683" s="3">
        <v>42718</v>
      </c>
    </row>
    <row r="1684" spans="1:7" x14ac:dyDescent="0.3">
      <c r="A1684" s="1" t="s">
        <v>2138</v>
      </c>
      <c r="B1684" s="1" t="s">
        <v>739</v>
      </c>
      <c r="C1684" s="1" t="s">
        <v>2172</v>
      </c>
      <c r="D1684" s="2" t="str">
        <f>HYPERLINK("https://inventaire.cncp.gouv.fr/fiches/735/","735")</f>
        <v>735</v>
      </c>
      <c r="E1684" s="2" t="str">
        <f>HYPERLINK("http://www.intercariforef.org/formations/certification-84976.html","84976")</f>
        <v>84976</v>
      </c>
      <c r="F1684" s="3">
        <v>42178</v>
      </c>
      <c r="G1684" s="3">
        <v>42718</v>
      </c>
    </row>
    <row r="1685" spans="1:7" x14ac:dyDescent="0.3">
      <c r="A1685" s="1" t="s">
        <v>2138</v>
      </c>
      <c r="B1685" s="1" t="s">
        <v>741</v>
      </c>
      <c r="C1685" s="1" t="s">
        <v>2172</v>
      </c>
      <c r="D1685" s="2" t="str">
        <f>HYPERLINK("https://inventaire.cncp.gouv.fr/fiches/734/","734")</f>
        <v>734</v>
      </c>
      <c r="E1685" s="2" t="str">
        <f>HYPERLINK("http://www.intercariforef.org/formations/certification-84977.html","84977")</f>
        <v>84977</v>
      </c>
      <c r="F1685" s="3">
        <v>42178</v>
      </c>
      <c r="G1685" s="3">
        <v>42718</v>
      </c>
    </row>
    <row r="1686" spans="1:7" x14ac:dyDescent="0.3">
      <c r="A1686" s="1" t="s">
        <v>2138</v>
      </c>
      <c r="B1686" s="1" t="s">
        <v>2173</v>
      </c>
      <c r="C1686" s="1" t="s">
        <v>75</v>
      </c>
      <c r="D1686" s="2" t="str">
        <f>HYPERLINK("https://inventaire.cncp.gouv.fr/fiches/3034/","3034")</f>
        <v>3034</v>
      </c>
      <c r="E1686" s="2" t="str">
        <f>HYPERLINK("http://www.intercariforef.org/formations/certification-100065.html","100065")</f>
        <v>100065</v>
      </c>
      <c r="F1686" s="3">
        <v>43152</v>
      </c>
      <c r="G1686" s="3">
        <v>43152</v>
      </c>
    </row>
    <row r="1687" spans="1:7" x14ac:dyDescent="0.3">
      <c r="A1687" s="1" t="s">
        <v>2138</v>
      </c>
      <c r="B1687" s="1" t="s">
        <v>2174</v>
      </c>
      <c r="C1687" s="1" t="s">
        <v>75</v>
      </c>
      <c r="D1687" s="2" t="str">
        <f>HYPERLINK("https://inventaire.cncp.gouv.fr/fiches/3039/","3039")</f>
        <v>3039</v>
      </c>
      <c r="E1687" s="2" t="str">
        <f>HYPERLINK("http://www.intercariforef.org/formations/certification-100061.html","100061")</f>
        <v>100061</v>
      </c>
      <c r="F1687" s="3">
        <v>43152</v>
      </c>
      <c r="G1687" s="3">
        <v>43152</v>
      </c>
    </row>
    <row r="1688" spans="1:7" x14ac:dyDescent="0.3">
      <c r="A1688" s="1" t="s">
        <v>2138</v>
      </c>
      <c r="B1688" s="1" t="s">
        <v>2175</v>
      </c>
      <c r="C1688" s="1" t="s">
        <v>75</v>
      </c>
      <c r="D1688" s="2" t="str">
        <f>HYPERLINK("https://inventaire.cncp.gouv.fr/fiches/3031/","3031")</f>
        <v>3031</v>
      </c>
      <c r="E1688" s="2" t="str">
        <f>HYPERLINK("http://www.intercariforef.org/formations/certification-100067.html","100067")</f>
        <v>100067</v>
      </c>
      <c r="F1688" s="3">
        <v>43152</v>
      </c>
      <c r="G1688" s="3">
        <v>43152</v>
      </c>
    </row>
    <row r="1689" spans="1:7" x14ac:dyDescent="0.3">
      <c r="A1689" s="1" t="s">
        <v>2138</v>
      </c>
      <c r="B1689" s="1" t="s">
        <v>2176</v>
      </c>
      <c r="C1689" s="1" t="s">
        <v>75</v>
      </c>
      <c r="D1689" s="2" t="str">
        <f>HYPERLINK("https://inventaire.cncp.gouv.fr/fiches/3035/","3035")</f>
        <v>3035</v>
      </c>
      <c r="E1689" s="2" t="str">
        <f>HYPERLINK("http://www.intercariforef.org/formations/certification-100063.html","100063")</f>
        <v>100063</v>
      </c>
      <c r="F1689" s="3">
        <v>43152</v>
      </c>
      <c r="G1689" s="3">
        <v>43152</v>
      </c>
    </row>
    <row r="1690" spans="1:7" x14ac:dyDescent="0.3">
      <c r="A1690" s="1" t="s">
        <v>2138</v>
      </c>
      <c r="B1690" s="1" t="s">
        <v>2177</v>
      </c>
      <c r="C1690" s="1" t="s">
        <v>1960</v>
      </c>
      <c r="D1690" s="2" t="str">
        <f>HYPERLINK("https://inventaire.cncp.gouv.fr/fiches/478/","478")</f>
        <v>478</v>
      </c>
      <c r="E1690" s="2" t="str">
        <f>HYPERLINK("http://www.intercariforef.org/formations/certification-84855.html","84855")</f>
        <v>84855</v>
      </c>
      <c r="F1690" s="3">
        <v>42177</v>
      </c>
      <c r="G1690" s="3">
        <v>42177</v>
      </c>
    </row>
    <row r="1691" spans="1:7" x14ac:dyDescent="0.3">
      <c r="A1691" s="1" t="s">
        <v>2138</v>
      </c>
      <c r="B1691" s="1" t="s">
        <v>2178</v>
      </c>
      <c r="C1691" s="1" t="s">
        <v>1960</v>
      </c>
      <c r="D1691" s="2" t="str">
        <f>HYPERLINK("https://inventaire.cncp.gouv.fr/fiches/433/","433")</f>
        <v>433</v>
      </c>
      <c r="E1691" s="2" t="str">
        <f>HYPERLINK("http://www.intercariforef.org/formations/certification-84859.html","84859")</f>
        <v>84859</v>
      </c>
      <c r="F1691" s="3">
        <v>42177</v>
      </c>
      <c r="G1691" s="3">
        <v>42177</v>
      </c>
    </row>
    <row r="1692" spans="1:7" x14ac:dyDescent="0.3">
      <c r="A1692" s="1" t="s">
        <v>2138</v>
      </c>
      <c r="B1692" s="1" t="s">
        <v>2179</v>
      </c>
      <c r="C1692" s="1" t="s">
        <v>1960</v>
      </c>
      <c r="D1692" s="2" t="str">
        <f>HYPERLINK("https://inventaire.cncp.gouv.fr/fiches/388/","388")</f>
        <v>388</v>
      </c>
      <c r="E1692" s="2" t="str">
        <f>HYPERLINK("http://www.intercariforef.org/formations/certification-84860.html","84860")</f>
        <v>84860</v>
      </c>
      <c r="F1692" s="3">
        <v>42177</v>
      </c>
      <c r="G1692" s="3">
        <v>42177</v>
      </c>
    </row>
    <row r="1693" spans="1:7" x14ac:dyDescent="0.3">
      <c r="A1693" s="1" t="s">
        <v>2138</v>
      </c>
      <c r="B1693" s="1" t="s">
        <v>2180</v>
      </c>
      <c r="C1693" s="1" t="s">
        <v>1960</v>
      </c>
      <c r="D1693" s="2" t="str">
        <f>HYPERLINK("https://inventaire.cncp.gouv.fr/fiches/479/","479")</f>
        <v>479</v>
      </c>
      <c r="E1693" s="2" t="str">
        <f>HYPERLINK("http://www.intercariforef.org/formations/certification-84861.html","84861")</f>
        <v>84861</v>
      </c>
      <c r="F1693" s="3">
        <v>42177</v>
      </c>
      <c r="G1693" s="3">
        <v>42177</v>
      </c>
    </row>
    <row r="1694" spans="1:7" x14ac:dyDescent="0.3">
      <c r="A1694" s="1" t="s">
        <v>2138</v>
      </c>
      <c r="B1694" s="1" t="s">
        <v>2181</v>
      </c>
      <c r="C1694" s="1" t="s">
        <v>1960</v>
      </c>
      <c r="D1694" s="2" t="str">
        <f>HYPERLINK("https://inventaire.cncp.gouv.fr/fiches/434/","434")</f>
        <v>434</v>
      </c>
      <c r="E1694" s="2" t="str">
        <f>HYPERLINK("http://www.intercariforef.org/formations/certification-84863.html","84863")</f>
        <v>84863</v>
      </c>
      <c r="F1694" s="3">
        <v>42177</v>
      </c>
      <c r="G1694" s="3">
        <v>42177</v>
      </c>
    </row>
    <row r="1695" spans="1:7" x14ac:dyDescent="0.3">
      <c r="A1695" s="1" t="s">
        <v>2138</v>
      </c>
      <c r="B1695" s="1" t="s">
        <v>2182</v>
      </c>
      <c r="C1695" s="1" t="s">
        <v>1960</v>
      </c>
      <c r="D1695" s="2" t="str">
        <f>HYPERLINK("https://inventaire.cncp.gouv.fr/fiches/389/","389")</f>
        <v>389</v>
      </c>
      <c r="E1695" s="2" t="str">
        <f>HYPERLINK("http://www.intercariforef.org/formations/certification-84865.html","84865")</f>
        <v>84865</v>
      </c>
      <c r="F1695" s="3">
        <v>42177</v>
      </c>
      <c r="G1695" s="3">
        <v>42177</v>
      </c>
    </row>
    <row r="1696" spans="1:7" x14ac:dyDescent="0.3">
      <c r="A1696" s="1" t="s">
        <v>2138</v>
      </c>
      <c r="B1696" s="1" t="s">
        <v>2183</v>
      </c>
      <c r="C1696" s="1" t="s">
        <v>1960</v>
      </c>
      <c r="D1696" s="2" t="str">
        <f>HYPERLINK("https://inventaire.cncp.gouv.fr/fiches/480/","480")</f>
        <v>480</v>
      </c>
      <c r="E1696" s="2" t="str">
        <f>HYPERLINK("http://www.intercariforef.org/formations/certification-84870.html","84870")</f>
        <v>84870</v>
      </c>
      <c r="F1696" s="3">
        <v>42177</v>
      </c>
      <c r="G1696" s="3">
        <v>42177</v>
      </c>
    </row>
    <row r="1697" spans="1:7" x14ac:dyDescent="0.3">
      <c r="A1697" s="1" t="s">
        <v>2138</v>
      </c>
      <c r="B1697" s="1" t="s">
        <v>2184</v>
      </c>
      <c r="C1697" s="1" t="s">
        <v>1960</v>
      </c>
      <c r="D1697" s="2" t="str">
        <f>HYPERLINK("https://inventaire.cncp.gouv.fr/fiches/435/","435")</f>
        <v>435</v>
      </c>
      <c r="E1697" s="2" t="str">
        <f>HYPERLINK("http://www.intercariforef.org/formations/certification-84871.html","84871")</f>
        <v>84871</v>
      </c>
      <c r="F1697" s="3">
        <v>42177</v>
      </c>
      <c r="G1697" s="3">
        <v>42177</v>
      </c>
    </row>
    <row r="1698" spans="1:7" x14ac:dyDescent="0.3">
      <c r="A1698" s="1" t="s">
        <v>2138</v>
      </c>
      <c r="B1698" s="1" t="s">
        <v>2185</v>
      </c>
      <c r="C1698" s="1" t="s">
        <v>1960</v>
      </c>
      <c r="D1698" s="2" t="str">
        <f>HYPERLINK("https://inventaire.cncp.gouv.fr/fiches/390/","390")</f>
        <v>390</v>
      </c>
      <c r="E1698" s="2" t="str">
        <f>HYPERLINK("http://www.intercariforef.org/formations/certification-84873.html","84873")</f>
        <v>84873</v>
      </c>
      <c r="F1698" s="3">
        <v>42177</v>
      </c>
      <c r="G1698" s="3">
        <v>42177</v>
      </c>
    </row>
    <row r="1699" spans="1:7" x14ac:dyDescent="0.3">
      <c r="A1699" s="1" t="s">
        <v>2138</v>
      </c>
      <c r="B1699" s="1" t="s">
        <v>2186</v>
      </c>
      <c r="C1699" s="1" t="s">
        <v>1960</v>
      </c>
      <c r="D1699" s="2" t="str">
        <f>HYPERLINK("https://inventaire.cncp.gouv.fr/fiches/511/","511")</f>
        <v>511</v>
      </c>
      <c r="E1699" s="2" t="str">
        <f>HYPERLINK("http://www.intercariforef.org/formations/certification-84874.html","84874")</f>
        <v>84874</v>
      </c>
      <c r="F1699" s="3">
        <v>42177</v>
      </c>
      <c r="G1699" s="3">
        <v>42177</v>
      </c>
    </row>
    <row r="1700" spans="1:7" x14ac:dyDescent="0.3">
      <c r="A1700" s="1" t="s">
        <v>2138</v>
      </c>
      <c r="B1700" s="1" t="s">
        <v>2187</v>
      </c>
      <c r="C1700" s="1" t="s">
        <v>1960</v>
      </c>
      <c r="D1700" s="2" t="str">
        <f>HYPERLINK("https://inventaire.cncp.gouv.fr/fiches/430/","430")</f>
        <v>430</v>
      </c>
      <c r="E1700" s="2" t="str">
        <f>HYPERLINK("http://www.intercariforef.org/formations/certification-84878.html","84878")</f>
        <v>84878</v>
      </c>
      <c r="F1700" s="3">
        <v>42177</v>
      </c>
      <c r="G1700" s="3">
        <v>42177</v>
      </c>
    </row>
    <row r="1701" spans="1:7" x14ac:dyDescent="0.3">
      <c r="A1701" s="1" t="s">
        <v>2138</v>
      </c>
      <c r="B1701" s="1" t="s">
        <v>2188</v>
      </c>
      <c r="C1701" s="1" t="s">
        <v>1960</v>
      </c>
      <c r="D1701" s="2" t="str">
        <f>HYPERLINK("https://inventaire.cncp.gouv.fr/fiches/513/","513")</f>
        <v>513</v>
      </c>
      <c r="E1701" s="2" t="str">
        <f>HYPERLINK("http://www.intercariforef.org/formations/certification-84879.html","84879")</f>
        <v>84879</v>
      </c>
      <c r="F1701" s="3">
        <v>42177</v>
      </c>
      <c r="G1701" s="3">
        <v>42177</v>
      </c>
    </row>
    <row r="1702" spans="1:7" x14ac:dyDescent="0.3">
      <c r="A1702" s="1" t="s">
        <v>2138</v>
      </c>
      <c r="B1702" s="1" t="s">
        <v>2189</v>
      </c>
      <c r="C1702" s="1" t="s">
        <v>1960</v>
      </c>
      <c r="D1702" s="2" t="str">
        <f>HYPERLINK("https://inventaire.cncp.gouv.fr/fiches/514/","514")</f>
        <v>514</v>
      </c>
      <c r="E1702" s="2" t="str">
        <f>HYPERLINK("http://www.intercariforef.org/formations/certification-84884.html","84884")</f>
        <v>84884</v>
      </c>
      <c r="F1702" s="3">
        <v>42177</v>
      </c>
      <c r="G1702" s="3">
        <v>42177</v>
      </c>
    </row>
    <row r="1703" spans="1:7" x14ac:dyDescent="0.3">
      <c r="A1703" s="1" t="s">
        <v>2138</v>
      </c>
      <c r="B1703" s="1" t="s">
        <v>2190</v>
      </c>
      <c r="C1703" s="1" t="s">
        <v>1960</v>
      </c>
      <c r="D1703" s="2" t="str">
        <f>HYPERLINK("https://inventaire.cncp.gouv.fr/fiches/443/","443")</f>
        <v>443</v>
      </c>
      <c r="E1703" s="2" t="str">
        <f>HYPERLINK("http://www.intercariforef.org/formations/certification-84886.html","84886")</f>
        <v>84886</v>
      </c>
      <c r="F1703" s="3">
        <v>42177</v>
      </c>
      <c r="G1703" s="3">
        <v>42177</v>
      </c>
    </row>
    <row r="1704" spans="1:7" x14ac:dyDescent="0.3">
      <c r="A1704" s="1" t="s">
        <v>2138</v>
      </c>
      <c r="B1704" s="1" t="s">
        <v>2191</v>
      </c>
      <c r="C1704" s="1" t="s">
        <v>1960</v>
      </c>
      <c r="D1704" s="2" t="str">
        <f>HYPERLINK("https://inventaire.cncp.gouv.fr/fiches/508/","508")</f>
        <v>508</v>
      </c>
      <c r="E1704" s="2" t="str">
        <f>HYPERLINK("http://www.intercariforef.org/formations/certification-84887.html","84887")</f>
        <v>84887</v>
      </c>
      <c r="F1704" s="3">
        <v>42177</v>
      </c>
      <c r="G1704" s="3">
        <v>42177</v>
      </c>
    </row>
    <row r="1705" spans="1:7" x14ac:dyDescent="0.3">
      <c r="A1705" s="1" t="s">
        <v>2138</v>
      </c>
      <c r="B1705" s="1" t="s">
        <v>2192</v>
      </c>
      <c r="C1705" s="1" t="s">
        <v>1960</v>
      </c>
      <c r="D1705" s="2" t="str">
        <f>HYPERLINK("https://inventaire.cncp.gouv.fr/fiches/509/","509")</f>
        <v>509</v>
      </c>
      <c r="E1705" s="2" t="str">
        <f>HYPERLINK("http://www.intercariforef.org/formations/certification-84888.html","84888")</f>
        <v>84888</v>
      </c>
      <c r="F1705" s="3">
        <v>42177</v>
      </c>
      <c r="G1705" s="3">
        <v>42177</v>
      </c>
    </row>
    <row r="1706" spans="1:7" x14ac:dyDescent="0.3">
      <c r="A1706" s="1" t="s">
        <v>2138</v>
      </c>
      <c r="B1706" s="1" t="s">
        <v>2193</v>
      </c>
      <c r="C1706" s="1" t="s">
        <v>1960</v>
      </c>
      <c r="D1706" s="2" t="str">
        <f>HYPERLINK("https://inventaire.cncp.gouv.fr/fiches/510/","510")</f>
        <v>510</v>
      </c>
      <c r="E1706" s="2" t="str">
        <f>HYPERLINK("http://www.intercariforef.org/formations/certification-84889.html","84889")</f>
        <v>84889</v>
      </c>
      <c r="F1706" s="3">
        <v>42177</v>
      </c>
      <c r="G1706" s="3">
        <v>42177</v>
      </c>
    </row>
    <row r="1707" spans="1:7" x14ac:dyDescent="0.3">
      <c r="A1707" s="1" t="s">
        <v>2138</v>
      </c>
      <c r="B1707" s="1" t="s">
        <v>2194</v>
      </c>
      <c r="C1707" s="1" t="s">
        <v>1960</v>
      </c>
      <c r="D1707" s="2" t="str">
        <f>HYPERLINK("https://inventaire.cncp.gouv.fr/fiches/445/","445")</f>
        <v>445</v>
      </c>
      <c r="E1707" s="2" t="str">
        <f>HYPERLINK("http://www.intercariforef.org/formations/certification-84891.html","84891")</f>
        <v>84891</v>
      </c>
      <c r="F1707" s="3">
        <v>42177</v>
      </c>
      <c r="G1707" s="3">
        <v>42177</v>
      </c>
    </row>
    <row r="1708" spans="1:7" x14ac:dyDescent="0.3">
      <c r="A1708" s="1" t="s">
        <v>2138</v>
      </c>
      <c r="B1708" s="1" t="s">
        <v>2195</v>
      </c>
      <c r="C1708" s="1" t="s">
        <v>1960</v>
      </c>
      <c r="D1708" s="2" t="str">
        <f>HYPERLINK("https://inventaire.cncp.gouv.fr/fiches/417/","417")</f>
        <v>417</v>
      </c>
      <c r="E1708" s="2" t="str">
        <f>HYPERLINK("http://www.intercariforef.org/formations/certification-84895.html","84895")</f>
        <v>84895</v>
      </c>
      <c r="F1708" s="3">
        <v>42177</v>
      </c>
      <c r="G1708" s="3">
        <v>42177</v>
      </c>
    </row>
    <row r="1709" spans="1:7" x14ac:dyDescent="0.3">
      <c r="A1709" s="1" t="s">
        <v>2138</v>
      </c>
      <c r="B1709" s="1" t="s">
        <v>2196</v>
      </c>
      <c r="C1709" s="1" t="s">
        <v>1960</v>
      </c>
      <c r="D1709" s="2" t="str">
        <f>HYPERLINK("https://inventaire.cncp.gouv.fr/fiches/391/","391")</f>
        <v>391</v>
      </c>
      <c r="E1709" s="2" t="str">
        <f>HYPERLINK("http://www.intercariforef.org/formations/certification-84896.html","84896")</f>
        <v>84896</v>
      </c>
      <c r="F1709" s="3">
        <v>42177</v>
      </c>
      <c r="G1709" s="3">
        <v>42177</v>
      </c>
    </row>
    <row r="1710" spans="1:7" x14ac:dyDescent="0.3">
      <c r="A1710" s="1" t="s">
        <v>2138</v>
      </c>
      <c r="B1710" s="1" t="s">
        <v>2197</v>
      </c>
      <c r="C1710" s="1" t="s">
        <v>1960</v>
      </c>
      <c r="D1710" s="2" t="str">
        <f>HYPERLINK("https://inventaire.cncp.gouv.fr/fiches/476/","476")</f>
        <v>476</v>
      </c>
      <c r="E1710" s="2" t="str">
        <f>HYPERLINK("http://www.intercariforef.org/formations/certification-84897.html","84897")</f>
        <v>84897</v>
      </c>
      <c r="F1710" s="3">
        <v>42177</v>
      </c>
      <c r="G1710" s="3">
        <v>42177</v>
      </c>
    </row>
    <row r="1711" spans="1:7" x14ac:dyDescent="0.3">
      <c r="A1711" s="1" t="s">
        <v>2138</v>
      </c>
      <c r="B1711" s="1" t="s">
        <v>2198</v>
      </c>
      <c r="C1711" s="1" t="s">
        <v>1960</v>
      </c>
      <c r="D1711" s="2" t="str">
        <f>HYPERLINK("https://inventaire.cncp.gouv.fr/fiches/473/","473")</f>
        <v>473</v>
      </c>
      <c r="E1711" s="2" t="str">
        <f>HYPERLINK("http://www.intercariforef.org/formations/certification-84605.html","84605")</f>
        <v>84605</v>
      </c>
      <c r="F1711" s="3">
        <v>42142</v>
      </c>
      <c r="G1711" s="3">
        <v>42979</v>
      </c>
    </row>
    <row r="1712" spans="1:7" x14ac:dyDescent="0.3">
      <c r="A1712" s="1" t="s">
        <v>2138</v>
      </c>
      <c r="B1712" s="1" t="s">
        <v>2199</v>
      </c>
      <c r="C1712" s="1" t="s">
        <v>1960</v>
      </c>
      <c r="D1712" s="2" t="str">
        <f>HYPERLINK("https://inventaire.cncp.gouv.fr/fiches/419/","419")</f>
        <v>419</v>
      </c>
      <c r="E1712" s="2" t="str">
        <f>HYPERLINK("http://www.intercariforef.org/formations/certification-84898.html","84898")</f>
        <v>84898</v>
      </c>
      <c r="F1712" s="3">
        <v>42177</v>
      </c>
      <c r="G1712" s="3">
        <v>42177</v>
      </c>
    </row>
    <row r="1713" spans="1:7" x14ac:dyDescent="0.3">
      <c r="A1713" s="1" t="s">
        <v>2138</v>
      </c>
      <c r="B1713" s="1" t="s">
        <v>2200</v>
      </c>
      <c r="C1713" s="1" t="s">
        <v>1960</v>
      </c>
      <c r="D1713" s="2" t="str">
        <f>HYPERLINK("https://inventaire.cncp.gouv.fr/fiches/392/","392")</f>
        <v>392</v>
      </c>
      <c r="E1713" s="2" t="str">
        <f>HYPERLINK("http://www.intercariforef.org/formations/certification-84905.html","84905")</f>
        <v>84905</v>
      </c>
      <c r="F1713" s="3">
        <v>42178</v>
      </c>
      <c r="G1713" s="3">
        <v>42178</v>
      </c>
    </row>
    <row r="1714" spans="1:7" x14ac:dyDescent="0.3">
      <c r="A1714" s="1" t="s">
        <v>2138</v>
      </c>
      <c r="B1714" s="1" t="s">
        <v>2201</v>
      </c>
      <c r="C1714" s="1" t="s">
        <v>1960</v>
      </c>
      <c r="D1714" s="2" t="str">
        <f>HYPERLINK("https://inventaire.cncp.gouv.fr/fiches/477/","477")</f>
        <v>477</v>
      </c>
      <c r="E1714" s="2" t="str">
        <f>HYPERLINK("http://www.intercariforef.org/formations/certification-84906.html","84906")</f>
        <v>84906</v>
      </c>
      <c r="F1714" s="3">
        <v>42178</v>
      </c>
      <c r="G1714" s="3">
        <v>42178</v>
      </c>
    </row>
    <row r="1715" spans="1:7" x14ac:dyDescent="0.3">
      <c r="A1715" s="1" t="s">
        <v>2138</v>
      </c>
      <c r="B1715" s="1" t="s">
        <v>2202</v>
      </c>
      <c r="C1715" s="1" t="s">
        <v>1960</v>
      </c>
      <c r="D1715" s="2" t="str">
        <f>HYPERLINK("https://inventaire.cncp.gouv.fr/fiches/447/","447")</f>
        <v>447</v>
      </c>
      <c r="E1715" s="2" t="str">
        <f>HYPERLINK("http://www.intercariforef.org/formations/certification-84908.html","84908")</f>
        <v>84908</v>
      </c>
      <c r="F1715" s="3">
        <v>42178</v>
      </c>
      <c r="G1715" s="3">
        <v>42178</v>
      </c>
    </row>
    <row r="1716" spans="1:7" x14ac:dyDescent="0.3">
      <c r="A1716" s="1" t="s">
        <v>2138</v>
      </c>
      <c r="B1716" s="1" t="s">
        <v>2203</v>
      </c>
      <c r="C1716" s="1" t="s">
        <v>1960</v>
      </c>
      <c r="D1716" s="2" t="str">
        <f>HYPERLINK("https://inventaire.cncp.gouv.fr/fiches/420/","420")</f>
        <v>420</v>
      </c>
      <c r="E1716" s="2" t="str">
        <f>HYPERLINK("http://www.intercariforef.org/formations/certification-84909.html","84909")</f>
        <v>84909</v>
      </c>
      <c r="F1716" s="3">
        <v>42178</v>
      </c>
      <c r="G1716" s="3">
        <v>42178</v>
      </c>
    </row>
    <row r="1717" spans="1:7" x14ac:dyDescent="0.3">
      <c r="A1717" s="1" t="s">
        <v>2138</v>
      </c>
      <c r="B1717" s="1" t="s">
        <v>2204</v>
      </c>
      <c r="C1717" s="1" t="s">
        <v>1960</v>
      </c>
      <c r="D1717" s="2" t="str">
        <f>HYPERLINK("https://inventaire.cncp.gouv.fr/fiches/393/","393")</f>
        <v>393</v>
      </c>
      <c r="E1717" s="2" t="str">
        <f>HYPERLINK("http://www.intercariforef.org/formations/certification-84910.html","84910")</f>
        <v>84910</v>
      </c>
      <c r="F1717" s="3">
        <v>42178</v>
      </c>
      <c r="G1717" s="3">
        <v>42178</v>
      </c>
    </row>
    <row r="1718" spans="1:7" x14ac:dyDescent="0.3">
      <c r="A1718" s="1" t="s">
        <v>2138</v>
      </c>
      <c r="B1718" s="1" t="s">
        <v>2205</v>
      </c>
      <c r="C1718" s="1" t="s">
        <v>1960</v>
      </c>
      <c r="D1718" s="2" t="str">
        <f>HYPERLINK("https://inventaire.cncp.gouv.fr/fiches/475/","475")</f>
        <v>475</v>
      </c>
      <c r="E1718" s="2" t="str">
        <f>HYPERLINK("http://www.intercariforef.org/formations/certification-84890.html","84890")</f>
        <v>84890</v>
      </c>
      <c r="F1718" s="3">
        <v>42177</v>
      </c>
      <c r="G1718" s="3">
        <v>42178</v>
      </c>
    </row>
    <row r="1719" spans="1:7" x14ac:dyDescent="0.3">
      <c r="A1719" s="1" t="s">
        <v>2138</v>
      </c>
      <c r="B1719" s="1" t="s">
        <v>2206</v>
      </c>
      <c r="C1719" s="1" t="s">
        <v>1960</v>
      </c>
      <c r="D1719" s="2" t="str">
        <f>HYPERLINK("https://inventaire.cncp.gouv.fr/fiches/488/","488")</f>
        <v>488</v>
      </c>
      <c r="E1719" s="2" t="str">
        <f>HYPERLINK("http://www.intercariforef.org/formations/certification-84911.html","84911")</f>
        <v>84911</v>
      </c>
      <c r="F1719" s="3">
        <v>42178</v>
      </c>
      <c r="G1719" s="3">
        <v>42178</v>
      </c>
    </row>
    <row r="1720" spans="1:7" x14ac:dyDescent="0.3">
      <c r="A1720" s="1" t="s">
        <v>2138</v>
      </c>
      <c r="B1720" s="1" t="s">
        <v>2207</v>
      </c>
      <c r="C1720" s="1" t="s">
        <v>1960</v>
      </c>
      <c r="D1720" s="2" t="str">
        <f>HYPERLINK("https://inventaire.cncp.gouv.fr/fiches/452/","452")</f>
        <v>452</v>
      </c>
      <c r="E1720" s="2" t="str">
        <f>HYPERLINK("http://www.intercariforef.org/formations/certification-84912.html","84912")</f>
        <v>84912</v>
      </c>
      <c r="F1720" s="3">
        <v>42178</v>
      </c>
      <c r="G1720" s="3">
        <v>42178</v>
      </c>
    </row>
    <row r="1721" spans="1:7" x14ac:dyDescent="0.3">
      <c r="A1721" s="1" t="s">
        <v>2138</v>
      </c>
      <c r="B1721" s="1" t="s">
        <v>2208</v>
      </c>
      <c r="C1721" s="1" t="s">
        <v>1960</v>
      </c>
      <c r="D1721" s="2" t="str">
        <f>HYPERLINK("https://inventaire.cncp.gouv.fr/fiches/426/","426")</f>
        <v>426</v>
      </c>
      <c r="E1721" s="2" t="str">
        <f>HYPERLINK("http://www.intercariforef.org/formations/certification-84913.html","84913")</f>
        <v>84913</v>
      </c>
      <c r="F1721" s="3">
        <v>42178</v>
      </c>
      <c r="G1721" s="3">
        <v>42178</v>
      </c>
    </row>
    <row r="1722" spans="1:7" x14ac:dyDescent="0.3">
      <c r="A1722" s="1" t="s">
        <v>2138</v>
      </c>
      <c r="B1722" s="1" t="s">
        <v>2209</v>
      </c>
      <c r="C1722" s="1" t="s">
        <v>1960</v>
      </c>
      <c r="D1722" s="2" t="str">
        <f>HYPERLINK("https://inventaire.cncp.gouv.fr/fiches/412/","412")</f>
        <v>412</v>
      </c>
      <c r="E1722" s="2" t="str">
        <f>HYPERLINK("http://www.intercariforef.org/formations/certification-84914.html","84914")</f>
        <v>84914</v>
      </c>
      <c r="F1722" s="3">
        <v>42178</v>
      </c>
      <c r="G1722" s="3">
        <v>42178</v>
      </c>
    </row>
    <row r="1723" spans="1:7" x14ac:dyDescent="0.3">
      <c r="A1723" s="1" t="s">
        <v>2138</v>
      </c>
      <c r="B1723" s="1" t="s">
        <v>2210</v>
      </c>
      <c r="C1723" s="1" t="s">
        <v>1960</v>
      </c>
      <c r="D1723" s="2" t="str">
        <f>HYPERLINK("https://inventaire.cncp.gouv.fr/fiches/491/","491")</f>
        <v>491</v>
      </c>
      <c r="E1723" s="2" t="str">
        <f>HYPERLINK("http://www.intercariforef.org/formations/certification-84915.html","84915")</f>
        <v>84915</v>
      </c>
      <c r="F1723" s="3">
        <v>42178</v>
      </c>
      <c r="G1723" s="3">
        <v>42178</v>
      </c>
    </row>
    <row r="1724" spans="1:7" x14ac:dyDescent="0.3">
      <c r="A1724" s="1" t="s">
        <v>2138</v>
      </c>
      <c r="B1724" s="1" t="s">
        <v>2211</v>
      </c>
      <c r="C1724" s="1" t="s">
        <v>1960</v>
      </c>
      <c r="D1724" s="2" t="str">
        <f>HYPERLINK("https://inventaire.cncp.gouv.fr/fiches/453/","453")</f>
        <v>453</v>
      </c>
      <c r="E1724" s="2" t="str">
        <f>HYPERLINK("http://www.intercariforef.org/formations/certification-84916.html","84916")</f>
        <v>84916</v>
      </c>
      <c r="F1724" s="3">
        <v>42178</v>
      </c>
      <c r="G1724" s="3">
        <v>42178</v>
      </c>
    </row>
    <row r="1725" spans="1:7" x14ac:dyDescent="0.3">
      <c r="A1725" s="1" t="s">
        <v>2138</v>
      </c>
      <c r="B1725" s="1" t="s">
        <v>2212</v>
      </c>
      <c r="C1725" s="1" t="s">
        <v>1960</v>
      </c>
      <c r="D1725" s="2" t="str">
        <f>HYPERLINK("https://inventaire.cncp.gouv.fr/fiches/427/","427")</f>
        <v>427</v>
      </c>
      <c r="E1725" s="2" t="str">
        <f>HYPERLINK("http://www.intercariforef.org/formations/certification-84917.html","84917")</f>
        <v>84917</v>
      </c>
      <c r="F1725" s="3">
        <v>42178</v>
      </c>
      <c r="G1725" s="3">
        <v>42178</v>
      </c>
    </row>
    <row r="1726" spans="1:7" x14ac:dyDescent="0.3">
      <c r="A1726" s="1" t="s">
        <v>2138</v>
      </c>
      <c r="B1726" s="1" t="s">
        <v>2213</v>
      </c>
      <c r="C1726" s="1" t="s">
        <v>1960</v>
      </c>
      <c r="D1726" s="2" t="str">
        <f>HYPERLINK("https://inventaire.cncp.gouv.fr/fiches/413/","413")</f>
        <v>413</v>
      </c>
      <c r="E1726" s="2" t="str">
        <f>HYPERLINK("http://www.intercariforef.org/formations/certification-84918.html","84918")</f>
        <v>84918</v>
      </c>
      <c r="F1726" s="3">
        <v>42178</v>
      </c>
      <c r="G1726" s="3">
        <v>42178</v>
      </c>
    </row>
    <row r="1727" spans="1:7" x14ac:dyDescent="0.3">
      <c r="A1727" s="1" t="s">
        <v>2138</v>
      </c>
      <c r="B1727" s="1" t="s">
        <v>2214</v>
      </c>
      <c r="C1727" s="1" t="s">
        <v>1960</v>
      </c>
      <c r="D1727" s="2" t="str">
        <f>HYPERLINK("https://inventaire.cncp.gouv.fr/fiches/492/","492")</f>
        <v>492</v>
      </c>
      <c r="E1727" s="2" t="str">
        <f>HYPERLINK("http://www.intercariforef.org/formations/certification-84919.html","84919")</f>
        <v>84919</v>
      </c>
      <c r="F1727" s="3">
        <v>42178</v>
      </c>
      <c r="G1727" s="3">
        <v>42178</v>
      </c>
    </row>
    <row r="1728" spans="1:7" x14ac:dyDescent="0.3">
      <c r="A1728" s="1" t="s">
        <v>2138</v>
      </c>
      <c r="B1728" s="1" t="s">
        <v>2215</v>
      </c>
      <c r="C1728" s="1" t="s">
        <v>1960</v>
      </c>
      <c r="D1728" s="2" t="str">
        <f>HYPERLINK("https://inventaire.cncp.gouv.fr/fiches/454/","454")</f>
        <v>454</v>
      </c>
      <c r="E1728" s="2" t="str">
        <f>HYPERLINK("http://www.intercariforef.org/formations/certification-84920.html","84920")</f>
        <v>84920</v>
      </c>
      <c r="F1728" s="3">
        <v>42178</v>
      </c>
      <c r="G1728" s="3">
        <v>42178</v>
      </c>
    </row>
    <row r="1729" spans="1:7" x14ac:dyDescent="0.3">
      <c r="A1729" s="1" t="s">
        <v>2138</v>
      </c>
      <c r="B1729" s="1" t="s">
        <v>2216</v>
      </c>
      <c r="C1729" s="1" t="s">
        <v>1960</v>
      </c>
      <c r="D1729" s="2" t="str">
        <f>HYPERLINK("https://inventaire.cncp.gouv.fr/fiches/428/","428")</f>
        <v>428</v>
      </c>
      <c r="E1729" s="2" t="str">
        <f>HYPERLINK("http://www.intercariforef.org/formations/certification-84921.html","84921")</f>
        <v>84921</v>
      </c>
      <c r="F1729" s="3">
        <v>42178</v>
      </c>
      <c r="G1729" s="3">
        <v>42178</v>
      </c>
    </row>
    <row r="1730" spans="1:7" x14ac:dyDescent="0.3">
      <c r="A1730" s="1" t="s">
        <v>2138</v>
      </c>
      <c r="B1730" s="1" t="s">
        <v>2217</v>
      </c>
      <c r="C1730" s="1" t="s">
        <v>1960</v>
      </c>
      <c r="D1730" s="2" t="str">
        <f>HYPERLINK("https://inventaire.cncp.gouv.fr/fiches/414/","414")</f>
        <v>414</v>
      </c>
      <c r="E1730" s="2" t="str">
        <f>HYPERLINK("http://www.intercariforef.org/formations/certification-84922.html","84922")</f>
        <v>84922</v>
      </c>
      <c r="F1730" s="3">
        <v>42178</v>
      </c>
      <c r="G1730" s="3">
        <v>42178</v>
      </c>
    </row>
    <row r="1731" spans="1:7" x14ac:dyDescent="0.3">
      <c r="A1731" s="1" t="s">
        <v>2138</v>
      </c>
      <c r="B1731" s="1" t="s">
        <v>2218</v>
      </c>
      <c r="C1731" s="1" t="s">
        <v>1960</v>
      </c>
      <c r="D1731" s="2" t="str">
        <f>HYPERLINK("https://inventaire.cncp.gouv.fr/fiches/494/","494")</f>
        <v>494</v>
      </c>
      <c r="E1731" s="2" t="str">
        <f>HYPERLINK("http://www.intercariforef.org/formations/certification-84923.html","84923")</f>
        <v>84923</v>
      </c>
      <c r="F1731" s="3">
        <v>42178</v>
      </c>
      <c r="G1731" s="3">
        <v>42979</v>
      </c>
    </row>
    <row r="1732" spans="1:7" x14ac:dyDescent="0.3">
      <c r="A1732" s="1" t="s">
        <v>2138</v>
      </c>
      <c r="B1732" s="1" t="s">
        <v>2219</v>
      </c>
      <c r="C1732" s="1" t="s">
        <v>1960</v>
      </c>
      <c r="D1732" s="2" t="str">
        <f>HYPERLINK("https://inventaire.cncp.gouv.fr/fiches/448/","448")</f>
        <v>448</v>
      </c>
      <c r="E1732" s="2" t="str">
        <f>HYPERLINK("http://www.intercariforef.org/formations/certification-84924.html","84924")</f>
        <v>84924</v>
      </c>
      <c r="F1732" s="3">
        <v>42178</v>
      </c>
      <c r="G1732" s="3">
        <v>42979</v>
      </c>
    </row>
    <row r="1733" spans="1:7" x14ac:dyDescent="0.3">
      <c r="A1733" s="1" t="s">
        <v>2138</v>
      </c>
      <c r="B1733" s="1" t="s">
        <v>2220</v>
      </c>
      <c r="C1733" s="1" t="s">
        <v>1960</v>
      </c>
      <c r="D1733" s="2" t="str">
        <f>HYPERLINK("https://inventaire.cncp.gouv.fr/fiches/421/","421")</f>
        <v>421</v>
      </c>
      <c r="E1733" s="2" t="str">
        <f>HYPERLINK("http://www.intercariforef.org/formations/certification-84925.html","84925")</f>
        <v>84925</v>
      </c>
      <c r="F1733" s="3">
        <v>42178</v>
      </c>
      <c r="G1733" s="3">
        <v>42979</v>
      </c>
    </row>
    <row r="1734" spans="1:7" x14ac:dyDescent="0.3">
      <c r="A1734" s="1" t="s">
        <v>2138</v>
      </c>
      <c r="B1734" s="1" t="s">
        <v>2221</v>
      </c>
      <c r="C1734" s="1" t="s">
        <v>1960</v>
      </c>
      <c r="D1734" s="2" t="str">
        <f>HYPERLINK("https://inventaire.cncp.gouv.fr/fiches/394/","394")</f>
        <v>394</v>
      </c>
      <c r="E1734" s="2" t="str">
        <f>HYPERLINK("http://www.intercariforef.org/formations/certification-84926.html","84926")</f>
        <v>84926</v>
      </c>
      <c r="F1734" s="3">
        <v>42178</v>
      </c>
      <c r="G1734" s="3">
        <v>42979</v>
      </c>
    </row>
    <row r="1735" spans="1:7" x14ac:dyDescent="0.3">
      <c r="A1735" s="1" t="s">
        <v>2138</v>
      </c>
      <c r="B1735" s="1" t="s">
        <v>2222</v>
      </c>
      <c r="C1735" s="1" t="s">
        <v>1960</v>
      </c>
      <c r="D1735" s="2" t="str">
        <f>HYPERLINK("https://inventaire.cncp.gouv.fr/fiches/495/","495")</f>
        <v>495</v>
      </c>
      <c r="E1735" s="2" t="str">
        <f>HYPERLINK("http://www.intercariforef.org/formations/certification-84927.html","84927")</f>
        <v>84927</v>
      </c>
      <c r="F1735" s="3">
        <v>42178</v>
      </c>
      <c r="G1735" s="3">
        <v>42979</v>
      </c>
    </row>
    <row r="1736" spans="1:7" x14ac:dyDescent="0.3">
      <c r="A1736" s="1" t="s">
        <v>2138</v>
      </c>
      <c r="B1736" s="1" t="s">
        <v>2223</v>
      </c>
      <c r="C1736" s="1" t="s">
        <v>1960</v>
      </c>
      <c r="D1736" s="2" t="str">
        <f>HYPERLINK("https://inventaire.cncp.gouv.fr/fiches/423/","423")</f>
        <v>423</v>
      </c>
      <c r="E1736" s="2" t="str">
        <f>HYPERLINK("http://www.intercariforef.org/formations/certification-84928.html","84928")</f>
        <v>84928</v>
      </c>
      <c r="F1736" s="3">
        <v>42178</v>
      </c>
      <c r="G1736" s="3">
        <v>42979</v>
      </c>
    </row>
    <row r="1737" spans="1:7" x14ac:dyDescent="0.3">
      <c r="A1737" s="1" t="s">
        <v>2138</v>
      </c>
      <c r="B1737" s="1" t="s">
        <v>2224</v>
      </c>
      <c r="C1737" s="1" t="s">
        <v>1960</v>
      </c>
      <c r="D1737" s="2" t="str">
        <f>HYPERLINK("https://inventaire.cncp.gouv.fr/fiches/396/","396")</f>
        <v>396</v>
      </c>
      <c r="E1737" s="2" t="str">
        <f>HYPERLINK("http://www.intercariforef.org/formations/certification-84929.html","84929")</f>
        <v>84929</v>
      </c>
      <c r="F1737" s="3">
        <v>42178</v>
      </c>
      <c r="G1737" s="3">
        <v>42979</v>
      </c>
    </row>
    <row r="1738" spans="1:7" x14ac:dyDescent="0.3">
      <c r="A1738" s="1" t="s">
        <v>2138</v>
      </c>
      <c r="B1738" s="1" t="s">
        <v>2225</v>
      </c>
      <c r="C1738" s="1" t="s">
        <v>1960</v>
      </c>
      <c r="D1738" s="2" t="str">
        <f>HYPERLINK("https://inventaire.cncp.gouv.fr/fiches/501/","501")</f>
        <v>501</v>
      </c>
      <c r="E1738" s="2" t="str">
        <f>HYPERLINK("http://www.intercariforef.org/formations/certification-84930.html","84930")</f>
        <v>84930</v>
      </c>
      <c r="F1738" s="3">
        <v>42178</v>
      </c>
      <c r="G1738" s="3">
        <v>42979</v>
      </c>
    </row>
    <row r="1739" spans="1:7" x14ac:dyDescent="0.3">
      <c r="A1739" s="1" t="s">
        <v>2138</v>
      </c>
      <c r="B1739" s="1" t="s">
        <v>2226</v>
      </c>
      <c r="C1739" s="1" t="s">
        <v>1960</v>
      </c>
      <c r="D1739" s="2" t="str">
        <f>HYPERLINK("https://inventaire.cncp.gouv.fr/fiches/450/","450")</f>
        <v>450</v>
      </c>
      <c r="E1739" s="2" t="str">
        <f>HYPERLINK("http://www.intercariforef.org/formations/certification-84948.html","84948")</f>
        <v>84948</v>
      </c>
      <c r="F1739" s="3">
        <v>42178</v>
      </c>
      <c r="G1739" s="3">
        <v>42979</v>
      </c>
    </row>
    <row r="1740" spans="1:7" x14ac:dyDescent="0.3">
      <c r="A1740" s="1" t="s">
        <v>2138</v>
      </c>
      <c r="B1740" s="1" t="s">
        <v>2227</v>
      </c>
      <c r="C1740" s="1" t="s">
        <v>1960</v>
      </c>
      <c r="D1740" s="2" t="str">
        <f>HYPERLINK("https://inventaire.cncp.gouv.fr/fiches/425/","425")</f>
        <v>425</v>
      </c>
      <c r="E1740" s="2" t="str">
        <f>HYPERLINK("http://www.intercariforef.org/formations/certification-84952.html","84952")</f>
        <v>84952</v>
      </c>
      <c r="F1740" s="3">
        <v>42178</v>
      </c>
      <c r="G1740" s="3">
        <v>42979</v>
      </c>
    </row>
    <row r="1741" spans="1:7" x14ac:dyDescent="0.3">
      <c r="A1741" s="1" t="s">
        <v>2138</v>
      </c>
      <c r="B1741" s="1" t="s">
        <v>2228</v>
      </c>
      <c r="C1741" s="1" t="s">
        <v>1960</v>
      </c>
      <c r="D1741" s="2" t="str">
        <f>HYPERLINK("https://inventaire.cncp.gouv.fr/fiches/411/","411")</f>
        <v>411</v>
      </c>
      <c r="E1741" s="2" t="str">
        <f>HYPERLINK("http://www.intercariforef.org/formations/certification-84954.html","84954")</f>
        <v>84954</v>
      </c>
      <c r="F1741" s="3">
        <v>42178</v>
      </c>
      <c r="G1741" s="3">
        <v>42979</v>
      </c>
    </row>
    <row r="1742" spans="1:7" x14ac:dyDescent="0.3">
      <c r="A1742" s="1" t="s">
        <v>2138</v>
      </c>
      <c r="B1742" s="1" t="s">
        <v>2229</v>
      </c>
      <c r="C1742" s="1" t="s">
        <v>1960</v>
      </c>
      <c r="D1742" s="2" t="str">
        <f>HYPERLINK("https://inventaire.cncp.gouv.fr/fiches/482/","482")</f>
        <v>482</v>
      </c>
      <c r="E1742" s="2" t="str">
        <f>HYPERLINK("http://www.intercariforef.org/formations/certification-84969.html","84969")</f>
        <v>84969</v>
      </c>
      <c r="F1742" s="3">
        <v>42178</v>
      </c>
      <c r="G1742" s="3">
        <v>42979</v>
      </c>
    </row>
    <row r="1743" spans="1:7" x14ac:dyDescent="0.3">
      <c r="A1743" s="1" t="s">
        <v>2138</v>
      </c>
      <c r="B1743" s="1" t="s">
        <v>2230</v>
      </c>
      <c r="C1743" s="1" t="s">
        <v>1960</v>
      </c>
      <c r="D1743" s="2" t="str">
        <f>HYPERLINK("https://inventaire.cncp.gouv.fr/fiches/485/","485")</f>
        <v>485</v>
      </c>
      <c r="E1743" s="2" t="str">
        <f>HYPERLINK("http://www.intercariforef.org/formations/certification-84968.html","84968")</f>
        <v>84968</v>
      </c>
      <c r="F1743" s="3">
        <v>42178</v>
      </c>
      <c r="G1743" s="3">
        <v>42979</v>
      </c>
    </row>
    <row r="1744" spans="1:7" x14ac:dyDescent="0.3">
      <c r="A1744" s="1" t="s">
        <v>2138</v>
      </c>
      <c r="B1744" s="1" t="s">
        <v>2231</v>
      </c>
      <c r="C1744" s="1" t="s">
        <v>1960</v>
      </c>
      <c r="D1744" s="2" t="str">
        <f>HYPERLINK("https://inventaire.cncp.gouv.fr/fiches/487/","487")</f>
        <v>487</v>
      </c>
      <c r="E1744" s="2" t="str">
        <f>HYPERLINK("http://www.intercariforef.org/formations/certification-84967.html","84967")</f>
        <v>84967</v>
      </c>
      <c r="F1744" s="3">
        <v>42178</v>
      </c>
      <c r="G1744" s="3">
        <v>42979</v>
      </c>
    </row>
    <row r="1745" spans="1:7" x14ac:dyDescent="0.3">
      <c r="A1745" s="1" t="s">
        <v>2138</v>
      </c>
      <c r="B1745" s="1" t="s">
        <v>2232</v>
      </c>
      <c r="C1745" s="1" t="s">
        <v>1960</v>
      </c>
      <c r="D1745" s="2" t="str">
        <f>HYPERLINK("https://inventaire.cncp.gouv.fr/fiches/1327/","1327")</f>
        <v>1327</v>
      </c>
      <c r="E1745" s="2" t="str">
        <f>HYPERLINK("http://www.intercariforef.org/formations/certification-86211.html","86211")</f>
        <v>86211</v>
      </c>
      <c r="F1745" s="3">
        <v>42320</v>
      </c>
      <c r="G1745" s="3">
        <v>42320</v>
      </c>
    </row>
    <row r="1746" spans="1:7" x14ac:dyDescent="0.3">
      <c r="A1746" s="1" t="s">
        <v>2138</v>
      </c>
      <c r="B1746" s="1" t="s">
        <v>2233</v>
      </c>
      <c r="C1746" s="1" t="s">
        <v>1960</v>
      </c>
      <c r="D1746" s="2" t="str">
        <f>HYPERLINK("https://inventaire.cncp.gouv.fr/fiches/1330/","1330")</f>
        <v>1330</v>
      </c>
      <c r="E1746" s="2" t="str">
        <f>HYPERLINK("http://www.intercariforef.org/formations/certification-86212.html","86212")</f>
        <v>86212</v>
      </c>
      <c r="F1746" s="3">
        <v>42320</v>
      </c>
      <c r="G1746" s="3">
        <v>42320</v>
      </c>
    </row>
    <row r="1747" spans="1:7" x14ac:dyDescent="0.3">
      <c r="A1747" s="1" t="s">
        <v>2138</v>
      </c>
      <c r="B1747" s="1" t="s">
        <v>2234</v>
      </c>
      <c r="C1747" s="1" t="s">
        <v>1960</v>
      </c>
      <c r="D1747" s="2" t="str">
        <f>HYPERLINK("https://inventaire.cncp.gouv.fr/fiches/503/","503")</f>
        <v>503</v>
      </c>
      <c r="E1747" s="2" t="str">
        <f>HYPERLINK("http://www.intercariforef.org/formations/certification-84966.html","84966")</f>
        <v>84966</v>
      </c>
      <c r="F1747" s="3">
        <v>42178</v>
      </c>
      <c r="G1747" s="3">
        <v>42178</v>
      </c>
    </row>
    <row r="1748" spans="1:7" x14ac:dyDescent="0.3">
      <c r="A1748" s="1" t="s">
        <v>2138</v>
      </c>
      <c r="B1748" s="1" t="s">
        <v>2235</v>
      </c>
      <c r="C1748" s="1" t="s">
        <v>1960</v>
      </c>
      <c r="D1748" s="2" t="str">
        <f>HYPERLINK("https://inventaire.cncp.gouv.fr/fiches/455/","455")</f>
        <v>455</v>
      </c>
      <c r="E1748" s="2" t="str">
        <f>HYPERLINK("http://www.intercariforef.org/formations/certification-84955.html","84955")</f>
        <v>84955</v>
      </c>
      <c r="F1748" s="3">
        <v>42178</v>
      </c>
      <c r="G1748" s="3">
        <v>42178</v>
      </c>
    </row>
    <row r="1749" spans="1:7" x14ac:dyDescent="0.3">
      <c r="A1749" s="1" t="s">
        <v>2138</v>
      </c>
      <c r="B1749" s="1" t="s">
        <v>2236</v>
      </c>
      <c r="C1749" s="1" t="s">
        <v>1960</v>
      </c>
      <c r="D1749" s="2" t="str">
        <f>HYPERLINK("https://inventaire.cncp.gouv.fr/fiches/415/","415")</f>
        <v>415</v>
      </c>
      <c r="E1749" s="2" t="str">
        <f>HYPERLINK("http://www.intercariforef.org/formations/certification-84950.html","84950")</f>
        <v>84950</v>
      </c>
      <c r="F1749" s="3">
        <v>42178</v>
      </c>
      <c r="G1749" s="3">
        <v>42178</v>
      </c>
    </row>
    <row r="1750" spans="1:7" x14ac:dyDescent="0.3">
      <c r="A1750" s="1" t="s">
        <v>2138</v>
      </c>
      <c r="B1750" s="1" t="s">
        <v>2237</v>
      </c>
      <c r="C1750" s="1" t="s">
        <v>1960</v>
      </c>
      <c r="D1750" s="2" t="str">
        <f>HYPERLINK("https://inventaire.cncp.gouv.fr/fiches/505/","505")</f>
        <v>505</v>
      </c>
      <c r="E1750" s="2" t="str">
        <f>HYPERLINK("http://www.intercariforef.org/formations/certification-84962.html","84962")</f>
        <v>84962</v>
      </c>
      <c r="F1750" s="3">
        <v>42178</v>
      </c>
      <c r="G1750" s="3">
        <v>42178</v>
      </c>
    </row>
    <row r="1751" spans="1:7" x14ac:dyDescent="0.3">
      <c r="A1751" s="1" t="s">
        <v>2138</v>
      </c>
      <c r="B1751" s="1" t="s">
        <v>2238</v>
      </c>
      <c r="C1751" s="1" t="s">
        <v>1960</v>
      </c>
      <c r="D1751" s="2" t="str">
        <f>HYPERLINK("https://inventaire.cncp.gouv.fr/fiches/456/","456")</f>
        <v>456</v>
      </c>
      <c r="E1751" s="2" t="str">
        <f>HYPERLINK("http://www.intercariforef.org/formations/certification-84953.html","84953")</f>
        <v>84953</v>
      </c>
      <c r="F1751" s="3">
        <v>42178</v>
      </c>
      <c r="G1751" s="3">
        <v>42178</v>
      </c>
    </row>
    <row r="1752" spans="1:7" x14ac:dyDescent="0.3">
      <c r="A1752" s="1" t="s">
        <v>2138</v>
      </c>
      <c r="B1752" s="1" t="s">
        <v>2239</v>
      </c>
      <c r="C1752" s="1" t="s">
        <v>1960</v>
      </c>
      <c r="D1752" s="2" t="str">
        <f>HYPERLINK("https://inventaire.cncp.gouv.fr/fiches/416/","416")</f>
        <v>416</v>
      </c>
      <c r="E1752" s="2" t="str">
        <f>HYPERLINK("http://www.intercariforef.org/formations/certification-84946.html","84946")</f>
        <v>84946</v>
      </c>
      <c r="F1752" s="3">
        <v>42178</v>
      </c>
      <c r="G1752" s="3">
        <v>42178</v>
      </c>
    </row>
    <row r="1753" spans="1:7" x14ac:dyDescent="0.3">
      <c r="A1753" s="1" t="s">
        <v>2138</v>
      </c>
      <c r="B1753" s="1" t="s">
        <v>2240</v>
      </c>
      <c r="C1753" s="1" t="s">
        <v>1960</v>
      </c>
      <c r="D1753" s="2" t="str">
        <f>HYPERLINK("https://inventaire.cncp.gouv.fr/fiches/506/","506")</f>
        <v>506</v>
      </c>
      <c r="E1753" s="2" t="str">
        <f>HYPERLINK("http://www.intercariforef.org/formations/certification-84960.html","84960")</f>
        <v>84960</v>
      </c>
      <c r="F1753" s="3">
        <v>42178</v>
      </c>
      <c r="G1753" s="3">
        <v>42178</v>
      </c>
    </row>
    <row r="1754" spans="1:7" x14ac:dyDescent="0.3">
      <c r="A1754" s="1" t="s">
        <v>2138</v>
      </c>
      <c r="B1754" s="1" t="s">
        <v>2241</v>
      </c>
      <c r="C1754" s="1" t="s">
        <v>1960</v>
      </c>
      <c r="D1754" s="2" t="str">
        <f>HYPERLINK("https://inventaire.cncp.gouv.fr/fiches/457/","457")</f>
        <v>457</v>
      </c>
      <c r="E1754" s="2" t="str">
        <f>HYPERLINK("http://www.intercariforef.org/formations/certification-84951.html","84951")</f>
        <v>84951</v>
      </c>
      <c r="F1754" s="3">
        <v>42178</v>
      </c>
      <c r="G1754" s="3">
        <v>42178</v>
      </c>
    </row>
    <row r="1755" spans="1:7" x14ac:dyDescent="0.3">
      <c r="A1755" s="1" t="s">
        <v>2138</v>
      </c>
      <c r="B1755" s="1" t="s">
        <v>2242</v>
      </c>
      <c r="C1755" s="1" t="s">
        <v>1960</v>
      </c>
      <c r="D1755" s="2" t="str">
        <f>HYPERLINK("https://inventaire.cncp.gouv.fr/fiches/410/","410")</f>
        <v>410</v>
      </c>
      <c r="E1755" s="2" t="str">
        <f>HYPERLINK("http://www.intercariforef.org/formations/certification-84945.html","84945")</f>
        <v>84945</v>
      </c>
      <c r="F1755" s="3">
        <v>42178</v>
      </c>
      <c r="G1755" s="3">
        <v>42178</v>
      </c>
    </row>
    <row r="1756" spans="1:7" x14ac:dyDescent="0.3">
      <c r="A1756" s="1" t="s">
        <v>2138</v>
      </c>
      <c r="B1756" s="1" t="s">
        <v>2243</v>
      </c>
      <c r="C1756" s="1" t="s">
        <v>1960</v>
      </c>
      <c r="D1756" s="2" t="str">
        <f>HYPERLINK("https://inventaire.cncp.gouv.fr/fiches/458/","458")</f>
        <v>458</v>
      </c>
      <c r="E1756" s="2" t="str">
        <f>HYPERLINK("http://www.intercariforef.org/formations/certification-84943.html","84943")</f>
        <v>84943</v>
      </c>
      <c r="F1756" s="3">
        <v>42178</v>
      </c>
      <c r="G1756" s="3">
        <v>42178</v>
      </c>
    </row>
    <row r="1757" spans="1:7" x14ac:dyDescent="0.3">
      <c r="A1757" s="1" t="s">
        <v>2138</v>
      </c>
      <c r="B1757" s="1" t="s">
        <v>2244</v>
      </c>
      <c r="C1757" s="1" t="s">
        <v>1960</v>
      </c>
      <c r="D1757" s="2" t="str">
        <f>HYPERLINK("https://inventaire.cncp.gouv.fr/fiches/459/","459")</f>
        <v>459</v>
      </c>
      <c r="E1757" s="2" t="str">
        <f>HYPERLINK("http://www.intercariforef.org/formations/certification-84940.html","84940")</f>
        <v>84940</v>
      </c>
      <c r="F1757" s="3">
        <v>42178</v>
      </c>
      <c r="G1757" s="3">
        <v>42178</v>
      </c>
    </row>
    <row r="1758" spans="1:7" x14ac:dyDescent="0.3">
      <c r="A1758" s="1" t="s">
        <v>2138</v>
      </c>
      <c r="B1758" s="1" t="s">
        <v>2245</v>
      </c>
      <c r="C1758" s="1" t="s">
        <v>1960</v>
      </c>
      <c r="D1758" s="2" t="str">
        <f>HYPERLINK("https://inventaire.cncp.gouv.fr/fiches/460/","460")</f>
        <v>460</v>
      </c>
      <c r="E1758" s="2" t="str">
        <f>HYPERLINK("http://www.intercariforef.org/formations/certification-84937.html","84937")</f>
        <v>84937</v>
      </c>
      <c r="F1758" s="3">
        <v>42178</v>
      </c>
      <c r="G1758" s="3">
        <v>42178</v>
      </c>
    </row>
    <row r="1759" spans="1:7" x14ac:dyDescent="0.3">
      <c r="A1759" s="1" t="s">
        <v>2138</v>
      </c>
      <c r="B1759" s="1" t="s">
        <v>2246</v>
      </c>
      <c r="C1759" s="1" t="s">
        <v>75</v>
      </c>
      <c r="D1759" s="2" t="str">
        <f>HYPERLINK("https://inventaire.cncp.gouv.fr/fiches/1864/","1864")</f>
        <v>1864</v>
      </c>
      <c r="E1759" s="2" t="str">
        <f>HYPERLINK("http://www.intercariforef.org/formations/certification-94765.html","94765")</f>
        <v>94765</v>
      </c>
      <c r="F1759" s="3">
        <v>42832</v>
      </c>
      <c r="G1759" s="3">
        <v>42979</v>
      </c>
    </row>
    <row r="1760" spans="1:7" x14ac:dyDescent="0.3">
      <c r="A1760" s="1" t="s">
        <v>2138</v>
      </c>
      <c r="B1760" s="1" t="s">
        <v>2247</v>
      </c>
      <c r="C1760" s="1" t="s">
        <v>399</v>
      </c>
      <c r="D1760" s="2" t="str">
        <f>HYPERLINK("https://inventaire.cncp.gouv.fr/fiches/1902/","1902")</f>
        <v>1902</v>
      </c>
      <c r="E1760" s="2" t="str">
        <f>HYPERLINK("http://www.intercariforef.org/formations/certification-88385.html","88385")</f>
        <v>88385</v>
      </c>
      <c r="F1760" s="3">
        <v>42461</v>
      </c>
      <c r="G1760" s="3">
        <v>42979</v>
      </c>
    </row>
    <row r="1761" spans="1:7" x14ac:dyDescent="0.3">
      <c r="A1761" s="1" t="s">
        <v>2138</v>
      </c>
      <c r="B1761" s="1" t="s">
        <v>2248</v>
      </c>
      <c r="C1761" s="1" t="s">
        <v>602</v>
      </c>
      <c r="D1761" s="2" t="str">
        <f>HYPERLINK("https://inventaire.cncp.gouv.fr/fiches/1149/","1149")</f>
        <v>1149</v>
      </c>
      <c r="E1761" s="2" t="str">
        <f>HYPERLINK("http://www.intercariforef.org/formations/certification-86228.html","86228")</f>
        <v>86228</v>
      </c>
      <c r="F1761" s="3">
        <v>42324</v>
      </c>
      <c r="G1761" s="3">
        <v>42324</v>
      </c>
    </row>
    <row r="1762" spans="1:7" x14ac:dyDescent="0.3">
      <c r="A1762" s="1" t="s">
        <v>2138</v>
      </c>
      <c r="B1762" s="1" t="s">
        <v>2249</v>
      </c>
      <c r="C1762" s="1" t="s">
        <v>75</v>
      </c>
      <c r="D1762" s="2" t="str">
        <f>HYPERLINK("https://inventaire.cncp.gouv.fr/fiches/1880/","1880")</f>
        <v>1880</v>
      </c>
      <c r="E1762" s="2" t="str">
        <f>HYPERLINK("http://www.intercariforef.org/formations/certification-93987.html","93987")</f>
        <v>93987</v>
      </c>
      <c r="F1762" s="3">
        <v>42745</v>
      </c>
      <c r="G1762" s="3">
        <v>43152</v>
      </c>
    </row>
    <row r="1763" spans="1:7" x14ac:dyDescent="0.3">
      <c r="A1763" s="1" t="s">
        <v>2138</v>
      </c>
      <c r="B1763" s="1" t="s">
        <v>2250</v>
      </c>
      <c r="C1763" s="1" t="s">
        <v>602</v>
      </c>
      <c r="D1763" s="2" t="str">
        <f>HYPERLINK("https://inventaire.cncp.gouv.fr/fiches/1431/","1431")</f>
        <v>1431</v>
      </c>
      <c r="E1763" s="2" t="str">
        <f>HYPERLINK("http://www.intercariforef.org/formations/certification-88531.html","88531")</f>
        <v>88531</v>
      </c>
      <c r="F1763" s="3">
        <v>42467</v>
      </c>
      <c r="G1763" s="3">
        <v>42979</v>
      </c>
    </row>
    <row r="1764" spans="1:7" x14ac:dyDescent="0.3">
      <c r="A1764" s="1" t="s">
        <v>2138</v>
      </c>
      <c r="B1764" s="1" t="s">
        <v>2251</v>
      </c>
      <c r="C1764" s="1" t="s">
        <v>602</v>
      </c>
      <c r="D1764" s="2" t="str">
        <f>HYPERLINK("https://inventaire.cncp.gouv.fr/fiches/2359/","2359")</f>
        <v>2359</v>
      </c>
      <c r="E1764" s="2" t="str">
        <f>HYPERLINK("http://www.intercariforef.org/formations/certification-95467.html","95467")</f>
        <v>95467</v>
      </c>
      <c r="F1764" s="3">
        <v>42884</v>
      </c>
      <c r="G1764" s="3">
        <v>42979</v>
      </c>
    </row>
    <row r="1765" spans="1:7" x14ac:dyDescent="0.3">
      <c r="A1765" s="1" t="s">
        <v>2252</v>
      </c>
      <c r="B1765" s="1" t="s">
        <v>2253</v>
      </c>
      <c r="C1765" s="1" t="s">
        <v>2254</v>
      </c>
      <c r="D1765" s="2" t="str">
        <f>HYPERLINK("https://inventaire.cncp.gouv.fr/fiches/2487/","2487")</f>
        <v>2487</v>
      </c>
      <c r="E1765" s="2" t="str">
        <f>HYPERLINK("http://www.intercariforef.org/formations/certification-96431.html","96431")</f>
        <v>96431</v>
      </c>
      <c r="F1765" s="3">
        <v>42923</v>
      </c>
      <c r="G1765" s="3">
        <v>42923</v>
      </c>
    </row>
    <row r="1766" spans="1:7" x14ac:dyDescent="0.3">
      <c r="A1766" s="1" t="s">
        <v>2252</v>
      </c>
      <c r="B1766" s="1" t="s">
        <v>2255</v>
      </c>
      <c r="C1766" s="1" t="s">
        <v>776</v>
      </c>
      <c r="D1766" s="2" t="str">
        <f>HYPERLINK("https://inventaire.cncp.gouv.fr/fiches/3678/","3678")</f>
        <v>3678</v>
      </c>
      <c r="E1766" s="2" t="str">
        <f>HYPERLINK("http://www.intercariforef.org/formations/certification-103983.html","103983")</f>
        <v>103983</v>
      </c>
      <c r="F1766" s="3">
        <v>43391</v>
      </c>
      <c r="G1766" s="3">
        <v>43391</v>
      </c>
    </row>
    <row r="1767" spans="1:7" x14ac:dyDescent="0.3">
      <c r="A1767" s="1" t="s">
        <v>2252</v>
      </c>
      <c r="B1767" s="1" t="s">
        <v>2256</v>
      </c>
      <c r="C1767" s="1" t="s">
        <v>2257</v>
      </c>
      <c r="D1767" s="2" t="str">
        <f>HYPERLINK("https://inventaire.cncp.gouv.fr/fiches/2669/","2669")</f>
        <v>2669</v>
      </c>
      <c r="E1767" s="2" t="str">
        <f>HYPERLINK("http://www.intercariforef.org/formations/certification-95649.html","95649")</f>
        <v>95649</v>
      </c>
      <c r="F1767" s="3">
        <v>42893</v>
      </c>
      <c r="G1767" s="3">
        <v>42893</v>
      </c>
    </row>
    <row r="1768" spans="1:7" x14ac:dyDescent="0.3">
      <c r="A1768" s="1" t="s">
        <v>2252</v>
      </c>
      <c r="B1768" s="1" t="s">
        <v>2258</v>
      </c>
      <c r="C1768" s="1" t="s">
        <v>730</v>
      </c>
      <c r="D1768" s="2" t="str">
        <f>HYPERLINK("https://inventaire.cncp.gouv.fr/fiches/2495/","2495")</f>
        <v>2495</v>
      </c>
      <c r="E1768" s="2" t="str">
        <f>HYPERLINK("http://www.intercariforef.org/formations/certification-93791.html","93791")</f>
        <v>93791</v>
      </c>
      <c r="F1768" s="3">
        <v>42725</v>
      </c>
      <c r="G1768" s="3">
        <v>42725</v>
      </c>
    </row>
    <row r="1769" spans="1:7" ht="26.2" x14ac:dyDescent="0.3">
      <c r="A1769" s="1" t="s">
        <v>2252</v>
      </c>
      <c r="B1769" s="1" t="s">
        <v>2259</v>
      </c>
      <c r="C1769" s="1" t="s">
        <v>730</v>
      </c>
      <c r="D1769" s="2" t="str">
        <f>HYPERLINK("https://inventaire.cncp.gouv.fr/fiches/2978/","2978")</f>
        <v>2978</v>
      </c>
      <c r="E1769" s="2" t="str">
        <f>HYPERLINK("http://www.intercariforef.org/formations/certification-99255.html","99255")</f>
        <v>99255</v>
      </c>
      <c r="F1769" s="3">
        <v>43080</v>
      </c>
      <c r="G1769" s="3">
        <v>43080</v>
      </c>
    </row>
    <row r="1770" spans="1:7" x14ac:dyDescent="0.3">
      <c r="A1770" s="1" t="s">
        <v>2252</v>
      </c>
      <c r="B1770" s="1" t="s">
        <v>2260</v>
      </c>
      <c r="C1770" s="1" t="s">
        <v>2261</v>
      </c>
      <c r="D1770" s="2" t="str">
        <f>HYPERLINK("https://inventaire.cncp.gouv.fr/fiches/3428/","3428")</f>
        <v>3428</v>
      </c>
      <c r="E1770" s="2" t="str">
        <f>HYPERLINK("http://www.intercariforef.org/formations/certification-100631.html","100631")</f>
        <v>100631</v>
      </c>
      <c r="F1770" s="3">
        <v>43193</v>
      </c>
      <c r="G1770" s="3">
        <v>43193</v>
      </c>
    </row>
    <row r="1771" spans="1:7" x14ac:dyDescent="0.3">
      <c r="A1771" s="1" t="s">
        <v>2252</v>
      </c>
      <c r="B1771" s="1" t="s">
        <v>2262</v>
      </c>
      <c r="C1771" s="1" t="s">
        <v>793</v>
      </c>
      <c r="D1771" s="2" t="str">
        <f>HYPERLINK("https://inventaire.cncp.gouv.fr/fiches/2470/","2470")</f>
        <v>2470</v>
      </c>
      <c r="E1771" s="2" t="str">
        <f>HYPERLINK("http://www.intercariforef.org/formations/certification-94889.html","94889")</f>
        <v>94889</v>
      </c>
      <c r="F1771" s="3">
        <v>42836</v>
      </c>
      <c r="G1771" s="3">
        <v>43152</v>
      </c>
    </row>
    <row r="1772" spans="1:7" x14ac:dyDescent="0.3">
      <c r="A1772" s="1" t="s">
        <v>2252</v>
      </c>
      <c r="B1772" s="1" t="s">
        <v>2263</v>
      </c>
      <c r="C1772" s="1" t="s">
        <v>2264</v>
      </c>
      <c r="D1772" s="2" t="str">
        <f>HYPERLINK("https://inventaire.cncp.gouv.fr/fiches/1582/","1582")</f>
        <v>1582</v>
      </c>
      <c r="E1772" s="2" t="str">
        <f>HYPERLINK("http://www.intercariforef.org/formations/certification-87685.html","87685")</f>
        <v>87685</v>
      </c>
      <c r="F1772" s="3">
        <v>42418</v>
      </c>
      <c r="G1772" s="3">
        <v>42418</v>
      </c>
    </row>
    <row r="1773" spans="1:7" x14ac:dyDescent="0.3">
      <c r="A1773" s="1" t="s">
        <v>2252</v>
      </c>
      <c r="B1773" s="1" t="s">
        <v>2265</v>
      </c>
      <c r="C1773" s="1" t="s">
        <v>359</v>
      </c>
      <c r="D1773" s="2" t="str">
        <f>HYPERLINK("https://inventaire.cncp.gouv.fr/fiches/666/","666")</f>
        <v>666</v>
      </c>
      <c r="E1773" s="2" t="str">
        <f>HYPERLINK("http://www.intercariforef.org/formations/certification-84961.html","84961")</f>
        <v>84961</v>
      </c>
      <c r="F1773" s="3">
        <v>42178</v>
      </c>
      <c r="G1773" s="3">
        <v>42178</v>
      </c>
    </row>
    <row r="1774" spans="1:7" x14ac:dyDescent="0.3">
      <c r="A1774" s="1" t="s">
        <v>2252</v>
      </c>
      <c r="B1774" s="1" t="s">
        <v>2266</v>
      </c>
      <c r="C1774" s="1" t="s">
        <v>773</v>
      </c>
      <c r="D1774" s="2" t="str">
        <f>HYPERLINK("https://inventaire.cncp.gouv.fr/fiches/3071/","3071")</f>
        <v>3071</v>
      </c>
      <c r="E1774" s="2" t="str">
        <f>HYPERLINK("http://www.intercariforef.org/formations/certification-101211.html","101211")</f>
        <v>101211</v>
      </c>
      <c r="F1774" s="3">
        <v>43251</v>
      </c>
      <c r="G1774" s="3">
        <v>43251</v>
      </c>
    </row>
    <row r="1775" spans="1:7" x14ac:dyDescent="0.3">
      <c r="A1775" s="1" t="s">
        <v>2252</v>
      </c>
      <c r="B1775" s="1" t="s">
        <v>2267</v>
      </c>
      <c r="C1775" s="1" t="s">
        <v>413</v>
      </c>
      <c r="D1775" s="2" t="str">
        <f>HYPERLINK("https://inventaire.cncp.gouv.fr/fiches/870/","870")</f>
        <v>870</v>
      </c>
      <c r="E1775" s="2" t="str">
        <f>HYPERLINK("http://www.intercariforef.org/formations/certification-86398.html","86398")</f>
        <v>86398</v>
      </c>
      <c r="F1775" s="3">
        <v>42340</v>
      </c>
      <c r="G1775" s="3">
        <v>42340</v>
      </c>
    </row>
    <row r="1776" spans="1:7" x14ac:dyDescent="0.3">
      <c r="A1776" s="1" t="s">
        <v>2252</v>
      </c>
      <c r="B1776" s="1" t="s">
        <v>2268</v>
      </c>
      <c r="C1776" s="1" t="s">
        <v>2254</v>
      </c>
      <c r="D1776" s="2" t="str">
        <f>HYPERLINK("https://inventaire.cncp.gouv.fr/fiches/2488/","2488")</f>
        <v>2488</v>
      </c>
      <c r="E1776" s="2" t="str">
        <f>HYPERLINK("http://www.intercariforef.org/formations/certification-96843.html","96843")</f>
        <v>96843</v>
      </c>
      <c r="F1776" s="3">
        <v>42937</v>
      </c>
      <c r="G1776" s="3">
        <v>42937</v>
      </c>
    </row>
    <row r="1777" spans="1:7" x14ac:dyDescent="0.3">
      <c r="A1777" s="1" t="s">
        <v>2252</v>
      </c>
      <c r="B1777" s="1" t="s">
        <v>2269</v>
      </c>
      <c r="C1777" s="1" t="s">
        <v>776</v>
      </c>
      <c r="D1777" s="2" t="str">
        <f>HYPERLINK("https://inventaire.cncp.gouv.fr/fiches/3627/","3627")</f>
        <v>3627</v>
      </c>
      <c r="E1777" s="2" t="str">
        <f>HYPERLINK("http://www.intercariforef.org/formations/certification-101151.html","101151")</f>
        <v>101151</v>
      </c>
      <c r="F1777" s="3">
        <v>43250</v>
      </c>
      <c r="G1777" s="3">
        <v>43279</v>
      </c>
    </row>
    <row r="1778" spans="1:7" x14ac:dyDescent="0.3">
      <c r="A1778" s="1" t="s">
        <v>2252</v>
      </c>
      <c r="B1778" s="1" t="s">
        <v>2270</v>
      </c>
      <c r="C1778" s="1" t="s">
        <v>776</v>
      </c>
      <c r="D1778" s="2" t="str">
        <f>HYPERLINK("https://inventaire.cncp.gouv.fr/fiches/3679/","3679")</f>
        <v>3679</v>
      </c>
      <c r="E1778" s="2" t="str">
        <f>HYPERLINK("http://www.intercariforef.org/formations/certification-103987.html","103987")</f>
        <v>103987</v>
      </c>
      <c r="F1778" s="3">
        <v>43391</v>
      </c>
      <c r="G1778" s="3">
        <v>43391</v>
      </c>
    </row>
    <row r="1779" spans="1:7" x14ac:dyDescent="0.3">
      <c r="A1779" s="1" t="s">
        <v>2252</v>
      </c>
      <c r="B1779" s="1" t="s">
        <v>2271</v>
      </c>
      <c r="C1779" s="1" t="s">
        <v>30</v>
      </c>
      <c r="D1779" s="2" t="str">
        <f>HYPERLINK("https://inventaire.cncp.gouv.fr/fiches/2963/","2963")</f>
        <v>2963</v>
      </c>
      <c r="E1779" s="2" t="str">
        <f>HYPERLINK("http://www.intercariforef.org/formations/certification-99253.html","99253")</f>
        <v>99253</v>
      </c>
      <c r="F1779" s="3">
        <v>43080</v>
      </c>
      <c r="G1779" s="3">
        <v>43080</v>
      </c>
    </row>
    <row r="1780" spans="1:7" ht="26.2" x14ac:dyDescent="0.3">
      <c r="A1780" s="1" t="s">
        <v>2252</v>
      </c>
      <c r="B1780" s="1" t="s">
        <v>2272</v>
      </c>
      <c r="C1780" s="1" t="s">
        <v>2273</v>
      </c>
      <c r="D1780" s="2" t="str">
        <f>HYPERLINK("https://inventaire.cncp.gouv.fr/fiches/1751/","1751")</f>
        <v>1751</v>
      </c>
      <c r="E1780" s="2" t="str">
        <f>HYPERLINK("http://www.intercariforef.org/formations/certification-88395.html","88395")</f>
        <v>88395</v>
      </c>
      <c r="F1780" s="3">
        <v>42461</v>
      </c>
      <c r="G1780" s="3">
        <v>42979</v>
      </c>
    </row>
    <row r="1781" spans="1:7" x14ac:dyDescent="0.3">
      <c r="A1781" s="1" t="s">
        <v>2252</v>
      </c>
      <c r="B1781" s="1" t="s">
        <v>2274</v>
      </c>
      <c r="C1781" s="1" t="s">
        <v>773</v>
      </c>
      <c r="D1781" s="2" t="str">
        <f>HYPERLINK("https://inventaire.cncp.gouv.fr/fiches/2755/","2755")</f>
        <v>2755</v>
      </c>
      <c r="E1781" s="2" t="str">
        <f>HYPERLINK("http://www.intercariforef.org/formations/certification-95433.html","95433")</f>
        <v>95433</v>
      </c>
      <c r="F1781" s="3">
        <v>42884</v>
      </c>
      <c r="G1781" s="3">
        <v>42884</v>
      </c>
    </row>
    <row r="1782" spans="1:7" x14ac:dyDescent="0.3">
      <c r="A1782" s="1" t="s">
        <v>2252</v>
      </c>
      <c r="B1782" s="1" t="s">
        <v>2275</v>
      </c>
      <c r="C1782" s="1" t="s">
        <v>2276</v>
      </c>
      <c r="D1782" s="2" t="str">
        <f>HYPERLINK("https://inventaire.cncp.gouv.fr/fiches/2490/","2490")</f>
        <v>2490</v>
      </c>
      <c r="E1782" s="2" t="str">
        <f>HYPERLINK("http://www.intercariforef.org/formations/certification-93879.html","93879")</f>
        <v>93879</v>
      </c>
      <c r="F1782" s="3">
        <v>42744</v>
      </c>
      <c r="G1782" s="3">
        <v>42744</v>
      </c>
    </row>
    <row r="1783" spans="1:7" x14ac:dyDescent="0.3">
      <c r="A1783" s="1" t="s">
        <v>2252</v>
      </c>
      <c r="B1783" s="1" t="s">
        <v>2277</v>
      </c>
      <c r="C1783" s="1" t="s">
        <v>424</v>
      </c>
      <c r="D1783" s="2" t="str">
        <f>HYPERLINK("https://inventaire.cncp.gouv.fr/fiches/2079/","2079")</f>
        <v>2079</v>
      </c>
      <c r="E1783" s="2" t="str">
        <f>HYPERLINK("http://www.intercariforef.org/formations/certification-89199.html","89199")</f>
        <v>89199</v>
      </c>
      <c r="F1783" s="3">
        <v>42521</v>
      </c>
      <c r="G1783" s="3">
        <v>42521</v>
      </c>
    </row>
    <row r="1784" spans="1:7" x14ac:dyDescent="0.3">
      <c r="A1784" s="1" t="s">
        <v>2252</v>
      </c>
      <c r="B1784" s="1" t="s">
        <v>2278</v>
      </c>
      <c r="C1784" s="1" t="s">
        <v>940</v>
      </c>
      <c r="D1784" s="2" t="str">
        <f>HYPERLINK("https://inventaire.cncp.gouv.fr/fiches/3281/","3281")</f>
        <v>3281</v>
      </c>
      <c r="E1784" s="2" t="str">
        <f>HYPERLINK("http://www.intercariforef.org/formations/certification-100091.html","100091")</f>
        <v>100091</v>
      </c>
      <c r="F1784" s="3">
        <v>43152</v>
      </c>
      <c r="G1784" s="3">
        <v>43152</v>
      </c>
    </row>
    <row r="1785" spans="1:7" x14ac:dyDescent="0.3">
      <c r="A1785" s="1" t="s">
        <v>2252</v>
      </c>
      <c r="B1785" s="1" t="s">
        <v>2279</v>
      </c>
      <c r="C1785" s="1" t="s">
        <v>241</v>
      </c>
      <c r="D1785" s="2" t="str">
        <f>HYPERLINK("https://inventaire.cncp.gouv.fr/fiches/1776/","1776")</f>
        <v>1776</v>
      </c>
      <c r="E1785" s="2" t="str">
        <f>HYPERLINK("http://www.intercariforef.org/formations/certification-90023.html","90023")</f>
        <v>90023</v>
      </c>
      <c r="F1785" s="3">
        <v>42558</v>
      </c>
      <c r="G1785" s="3">
        <v>42558</v>
      </c>
    </row>
    <row r="1786" spans="1:7" x14ac:dyDescent="0.3">
      <c r="A1786" s="1" t="s">
        <v>2252</v>
      </c>
      <c r="B1786" s="1" t="s">
        <v>2280</v>
      </c>
      <c r="C1786" s="1" t="s">
        <v>350</v>
      </c>
      <c r="D1786" s="2" t="str">
        <f>HYPERLINK("https://inventaire.cncp.gouv.fr/fiches/1170/","1170")</f>
        <v>1170</v>
      </c>
      <c r="E1786" s="2" t="str">
        <f>HYPERLINK("http://www.intercariforef.org/formations/certification-86381.html","86381")</f>
        <v>86381</v>
      </c>
      <c r="F1786" s="3">
        <v>42340</v>
      </c>
      <c r="G1786" s="3">
        <v>43392</v>
      </c>
    </row>
    <row r="1787" spans="1:7" x14ac:dyDescent="0.3">
      <c r="A1787" s="1" t="s">
        <v>2252</v>
      </c>
      <c r="B1787" s="1" t="s">
        <v>2281</v>
      </c>
      <c r="C1787" s="1" t="s">
        <v>776</v>
      </c>
      <c r="D1787" s="2" t="str">
        <f>HYPERLINK("https://inventaire.cncp.gouv.fr/fiches/3630/","3630")</f>
        <v>3630</v>
      </c>
      <c r="E1787" s="2" t="str">
        <f>HYPERLINK("http://www.intercariforef.org/formations/certification-101347.html","101347")</f>
        <v>101347</v>
      </c>
      <c r="F1787" s="3">
        <v>43256</v>
      </c>
      <c r="G1787" s="3">
        <v>43353</v>
      </c>
    </row>
    <row r="1788" spans="1:7" x14ac:dyDescent="0.3">
      <c r="A1788" s="1" t="s">
        <v>2252</v>
      </c>
      <c r="B1788" s="1" t="s">
        <v>2282</v>
      </c>
      <c r="C1788" s="1" t="s">
        <v>776</v>
      </c>
      <c r="D1788" s="2" t="str">
        <f>HYPERLINK("https://inventaire.cncp.gouv.fr/fiches/3631/","3631")</f>
        <v>3631</v>
      </c>
      <c r="E1788" s="2" t="str">
        <f>HYPERLINK("http://www.intercariforef.org/formations/certification-101149.html","101149")</f>
        <v>101149</v>
      </c>
      <c r="F1788" s="3">
        <v>43250</v>
      </c>
      <c r="G1788" s="3">
        <v>43353</v>
      </c>
    </row>
    <row r="1789" spans="1:7" x14ac:dyDescent="0.3">
      <c r="A1789" s="1" t="s">
        <v>2252</v>
      </c>
      <c r="B1789" s="1" t="s">
        <v>2283</v>
      </c>
      <c r="C1789" s="1" t="s">
        <v>241</v>
      </c>
      <c r="D1789" s="2" t="str">
        <f>HYPERLINK("https://inventaire.cncp.gouv.fr/fiches/2551/","2551")</f>
        <v>2551</v>
      </c>
      <c r="E1789" s="2" t="str">
        <f>HYPERLINK("http://www.intercariforef.org/formations/certification-95659.html","95659")</f>
        <v>95659</v>
      </c>
      <c r="F1789" s="3">
        <v>42893</v>
      </c>
      <c r="G1789" s="3">
        <v>42893</v>
      </c>
    </row>
    <row r="1790" spans="1:7" x14ac:dyDescent="0.3">
      <c r="A1790" s="1" t="s">
        <v>2252</v>
      </c>
      <c r="B1790" s="1" t="s">
        <v>2284</v>
      </c>
      <c r="C1790" s="1" t="s">
        <v>983</v>
      </c>
      <c r="D1790" s="2" t="str">
        <f>HYPERLINK("https://inventaire.cncp.gouv.fr/fiches/2580/","2580")</f>
        <v>2580</v>
      </c>
      <c r="E1790" s="2" t="str">
        <f>HYPERLINK("http://www.intercariforef.org/formations/certification-96789.html","96789")</f>
        <v>96789</v>
      </c>
      <c r="F1790" s="3">
        <v>42934</v>
      </c>
      <c r="G1790" s="3">
        <v>42934</v>
      </c>
    </row>
    <row r="1791" spans="1:7" x14ac:dyDescent="0.3">
      <c r="A1791" s="1" t="s">
        <v>2252</v>
      </c>
      <c r="B1791" s="1" t="s">
        <v>2285</v>
      </c>
      <c r="C1791" s="1" t="s">
        <v>2286</v>
      </c>
      <c r="D1791" s="2" t="str">
        <f>HYPERLINK("https://inventaire.cncp.gouv.fr/fiches/3340/","3340")</f>
        <v>3340</v>
      </c>
      <c r="E1791" s="2" t="str">
        <f>HYPERLINK("http://www.intercariforef.org/formations/certification-100623.html","100623")</f>
        <v>100623</v>
      </c>
      <c r="F1791" s="3">
        <v>43193</v>
      </c>
      <c r="G1791" s="3">
        <v>43193</v>
      </c>
    </row>
    <row r="1792" spans="1:7" x14ac:dyDescent="0.3">
      <c r="A1792" s="1" t="s">
        <v>2252</v>
      </c>
      <c r="B1792" s="1" t="s">
        <v>2287</v>
      </c>
      <c r="C1792" s="1" t="s">
        <v>395</v>
      </c>
      <c r="D1792" s="2" t="str">
        <f>HYPERLINK("https://inventaire.cncp.gouv.fr/fiches/3734/","3734")</f>
        <v>3734</v>
      </c>
      <c r="E1792" s="2" t="str">
        <f>HYPERLINK("http://www.intercariforef.org/formations/certification-102461.html","102461")</f>
        <v>102461</v>
      </c>
      <c r="F1792" s="3">
        <v>43298</v>
      </c>
      <c r="G1792" s="3">
        <v>43298</v>
      </c>
    </row>
    <row r="1793" spans="1:7" x14ac:dyDescent="0.3">
      <c r="A1793" s="1" t="s">
        <v>2252</v>
      </c>
      <c r="B1793" s="1" t="s">
        <v>2288</v>
      </c>
      <c r="C1793" s="1" t="s">
        <v>422</v>
      </c>
      <c r="D1793" s="2" t="str">
        <f>HYPERLINK("https://inventaire.cncp.gouv.fr/fiches/3424/","3424")</f>
        <v>3424</v>
      </c>
      <c r="E1793" s="2" t="str">
        <f>HYPERLINK("http://www.intercariforef.org/formations/certification-100661.html","100661")</f>
        <v>100661</v>
      </c>
      <c r="F1793" s="3">
        <v>43194</v>
      </c>
      <c r="G1793" s="3">
        <v>43194</v>
      </c>
    </row>
    <row r="1794" spans="1:7" x14ac:dyDescent="0.3">
      <c r="A1794" s="1" t="s">
        <v>2252</v>
      </c>
      <c r="B1794" s="1" t="s">
        <v>2289</v>
      </c>
      <c r="C1794" s="1" t="s">
        <v>1741</v>
      </c>
      <c r="D1794" s="2" t="str">
        <f>HYPERLINK("https://inventaire.cncp.gouv.fr/fiches/3338/","3338")</f>
        <v>3338</v>
      </c>
      <c r="E1794" s="2" t="str">
        <f>HYPERLINK("http://www.intercariforef.org/formations/certification-101185.html","101185")</f>
        <v>101185</v>
      </c>
      <c r="F1794" s="3">
        <v>43250</v>
      </c>
      <c r="G1794" s="3">
        <v>43250</v>
      </c>
    </row>
    <row r="1795" spans="1:7" ht="26.2" x14ac:dyDescent="0.3">
      <c r="A1795" s="1" t="s">
        <v>2252</v>
      </c>
      <c r="B1795" s="1" t="s">
        <v>2290</v>
      </c>
      <c r="C1795" s="1" t="s">
        <v>431</v>
      </c>
      <c r="D1795" s="2" t="str">
        <f>HYPERLINK("https://inventaire.cncp.gouv.fr/fiches/2642/","2642")</f>
        <v>2642</v>
      </c>
      <c r="E1795" s="2" t="str">
        <f>HYPERLINK("http://www.intercariforef.org/formations/certification-94863.html","94863")</f>
        <v>94863</v>
      </c>
      <c r="F1795" s="3">
        <v>42836</v>
      </c>
      <c r="G1795" s="3">
        <v>42836</v>
      </c>
    </row>
    <row r="1796" spans="1:7" ht="26.2" x14ac:dyDescent="0.3">
      <c r="A1796" s="1" t="s">
        <v>2252</v>
      </c>
      <c r="B1796" s="1" t="s">
        <v>2291</v>
      </c>
      <c r="C1796" s="1" t="s">
        <v>892</v>
      </c>
      <c r="D1796" s="2" t="str">
        <f>HYPERLINK("https://inventaire.cncp.gouv.fr/fiches/1915/","1915")</f>
        <v>1915</v>
      </c>
      <c r="E1796" s="2" t="str">
        <f>HYPERLINK("http://www.intercariforef.org/formations/certification-90239.html","90239")</f>
        <v>90239</v>
      </c>
      <c r="F1796" s="3">
        <v>42563</v>
      </c>
      <c r="G1796" s="3">
        <v>42563</v>
      </c>
    </row>
    <row r="1797" spans="1:7" x14ac:dyDescent="0.3">
      <c r="A1797" s="1" t="s">
        <v>2252</v>
      </c>
      <c r="B1797" s="1" t="s">
        <v>2292</v>
      </c>
      <c r="C1797" s="1" t="s">
        <v>350</v>
      </c>
      <c r="D1797" s="2" t="str">
        <f>HYPERLINK("https://inventaire.cncp.gouv.fr/fiches/2808/","2808")</f>
        <v>2808</v>
      </c>
      <c r="E1797" s="2" t="str">
        <f>HYPERLINK("http://www.intercariforef.org/formations/certification-95625.html","95625")</f>
        <v>95625</v>
      </c>
      <c r="F1797" s="3">
        <v>42893</v>
      </c>
      <c r="G1797" s="3">
        <v>43392</v>
      </c>
    </row>
    <row r="1798" spans="1:7" x14ac:dyDescent="0.3">
      <c r="A1798" s="1" t="s">
        <v>2252</v>
      </c>
      <c r="B1798" s="1" t="s">
        <v>2293</v>
      </c>
      <c r="C1798" s="1" t="s">
        <v>776</v>
      </c>
      <c r="D1798" s="2" t="str">
        <f>HYPERLINK("https://inventaire.cncp.gouv.fr/fiches/3632/","3632")</f>
        <v>3632</v>
      </c>
      <c r="E1798" s="2" t="str">
        <f>HYPERLINK("http://www.intercariforef.org/formations/certification-101147.html","101147")</f>
        <v>101147</v>
      </c>
      <c r="F1798" s="3">
        <v>43250</v>
      </c>
      <c r="G1798" s="3">
        <v>43353</v>
      </c>
    </row>
    <row r="1799" spans="1:7" x14ac:dyDescent="0.3">
      <c r="A1799" s="1" t="s">
        <v>2252</v>
      </c>
      <c r="B1799" s="1" t="s">
        <v>2294</v>
      </c>
      <c r="C1799" s="1" t="s">
        <v>424</v>
      </c>
      <c r="D1799" s="2" t="str">
        <f>HYPERLINK("https://inventaire.cncp.gouv.fr/fiches/2034/","2034")</f>
        <v>2034</v>
      </c>
      <c r="E1799" s="2" t="str">
        <f>HYPERLINK("http://www.intercariforef.org/formations/certification-89201.html","89201")</f>
        <v>89201</v>
      </c>
      <c r="F1799" s="3">
        <v>42521</v>
      </c>
      <c r="G1799" s="3">
        <v>42521</v>
      </c>
    </row>
    <row r="1800" spans="1:7" x14ac:dyDescent="0.3">
      <c r="A1800" s="1" t="s">
        <v>2252</v>
      </c>
      <c r="B1800" s="1" t="s">
        <v>2295</v>
      </c>
      <c r="C1800" s="1" t="s">
        <v>2296</v>
      </c>
      <c r="D1800" s="2" t="str">
        <f>HYPERLINK("https://inventaire.cncp.gouv.fr/fiches/3495/","3495")</f>
        <v>3495</v>
      </c>
      <c r="E1800" s="2" t="str">
        <f>HYPERLINK("http://www.intercariforef.org/formations/certification-101245.html","101245")</f>
        <v>101245</v>
      </c>
      <c r="F1800" s="3">
        <v>43255</v>
      </c>
      <c r="G1800" s="3">
        <v>43255</v>
      </c>
    </row>
    <row r="1801" spans="1:7" ht="26.2" x14ac:dyDescent="0.3">
      <c r="A1801" s="1" t="s">
        <v>2297</v>
      </c>
      <c r="B1801" s="1" t="s">
        <v>2298</v>
      </c>
      <c r="C1801" s="1" t="s">
        <v>2299</v>
      </c>
      <c r="D1801" s="2" t="str">
        <f>HYPERLINK("https://inventaire.cncp.gouv.fr/fiches/2474/","2474")</f>
        <v>2474</v>
      </c>
      <c r="E1801" s="2" t="str">
        <f>HYPERLINK("http://www.intercariforef.org/formations/certification-100715.html","100715")</f>
        <v>100715</v>
      </c>
      <c r="F1801" s="3">
        <v>43199</v>
      </c>
      <c r="G1801" s="3">
        <v>43199</v>
      </c>
    </row>
    <row r="1802" spans="1:7" x14ac:dyDescent="0.3">
      <c r="A1802" s="1" t="s">
        <v>2297</v>
      </c>
      <c r="B1802" s="1" t="s">
        <v>2300</v>
      </c>
      <c r="C1802" s="1" t="s">
        <v>2301</v>
      </c>
      <c r="D1802" s="2" t="str">
        <f>HYPERLINK("https://inventaire.cncp.gouv.fr/fiches/3114/","3114")</f>
        <v>3114</v>
      </c>
      <c r="E1802" s="2" t="str">
        <f>HYPERLINK("http://www.intercariforef.org/formations/certification-100733.html","100733")</f>
        <v>100733</v>
      </c>
      <c r="F1802" s="3">
        <v>43200</v>
      </c>
      <c r="G1802" s="3">
        <v>43200</v>
      </c>
    </row>
    <row r="1803" spans="1:7" x14ac:dyDescent="0.3">
      <c r="A1803" s="1" t="s">
        <v>2302</v>
      </c>
      <c r="B1803" s="1" t="s">
        <v>2303</v>
      </c>
      <c r="C1803" s="1" t="s">
        <v>75</v>
      </c>
      <c r="D1803" s="2" t="str">
        <f>HYPERLINK("https://inventaire.cncp.gouv.fr/fiches/3027/","3027")</f>
        <v>3027</v>
      </c>
      <c r="E1803" s="2" t="str">
        <f>HYPERLINK("http://www.intercariforef.org/formations/certification-96493.html","96493")</f>
        <v>96493</v>
      </c>
      <c r="F1803" s="3">
        <v>42928</v>
      </c>
      <c r="G1803" s="3">
        <v>43152</v>
      </c>
    </row>
    <row r="1804" spans="1:7" x14ac:dyDescent="0.3">
      <c r="A1804" s="1" t="s">
        <v>2302</v>
      </c>
      <c r="B1804" s="1" t="s">
        <v>2304</v>
      </c>
      <c r="C1804" s="1" t="s">
        <v>2305</v>
      </c>
      <c r="D1804" s="2" t="str">
        <f>HYPERLINK("https://inventaire.cncp.gouv.fr/fiches/3948/","3948")</f>
        <v>3948</v>
      </c>
      <c r="E1804" s="2" t="str">
        <f>HYPERLINK("http://www.intercariforef.org/formations/certification-104113.html","104113")</f>
        <v>104113</v>
      </c>
      <c r="F1804" s="3">
        <v>43398</v>
      </c>
      <c r="G1804" s="3">
        <v>43398</v>
      </c>
    </row>
    <row r="1805" spans="1:7" x14ac:dyDescent="0.3">
      <c r="A1805" s="1" t="s">
        <v>2302</v>
      </c>
      <c r="B1805" s="1" t="s">
        <v>2306</v>
      </c>
      <c r="C1805" s="1" t="s">
        <v>70</v>
      </c>
      <c r="D1805" s="2" t="str">
        <f>HYPERLINK("https://inventaire.cncp.gouv.fr/fiches/622/","622")</f>
        <v>622</v>
      </c>
      <c r="E1805" s="2" t="str">
        <f>HYPERLINK("http://www.intercariforef.org/formations/certification-84398.html","84398")</f>
        <v>84398</v>
      </c>
      <c r="F1805" s="3">
        <v>42109</v>
      </c>
      <c r="G1805" s="3">
        <v>43111</v>
      </c>
    </row>
    <row r="1806" spans="1:7" x14ac:dyDescent="0.3">
      <c r="A1806" s="1" t="s">
        <v>2302</v>
      </c>
      <c r="B1806" s="1" t="s">
        <v>2307</v>
      </c>
      <c r="C1806" s="1" t="s">
        <v>70</v>
      </c>
      <c r="D1806" s="2" t="str">
        <f>HYPERLINK("https://inventaire.cncp.gouv.fr/fiches/630/","630")</f>
        <v>630</v>
      </c>
      <c r="E1806" s="2" t="str">
        <f>HYPERLINK("http://www.intercariforef.org/formations/certification-84399.html","84399")</f>
        <v>84399</v>
      </c>
      <c r="F1806" s="3">
        <v>42109</v>
      </c>
      <c r="G1806" s="3">
        <v>43111</v>
      </c>
    </row>
    <row r="1807" spans="1:7" x14ac:dyDescent="0.3">
      <c r="A1807" s="1" t="s">
        <v>2302</v>
      </c>
      <c r="B1807" s="1" t="s">
        <v>2308</v>
      </c>
      <c r="C1807" s="1" t="s">
        <v>70</v>
      </c>
      <c r="D1807" s="2" t="str">
        <f>HYPERLINK("https://inventaire.cncp.gouv.fr/fiches/633/","633")</f>
        <v>633</v>
      </c>
      <c r="E1807" s="2" t="str">
        <f>HYPERLINK("http://www.intercariforef.org/formations/certification-84400.html","84400")</f>
        <v>84400</v>
      </c>
      <c r="F1807" s="3">
        <v>42109</v>
      </c>
      <c r="G1807" s="3">
        <v>43111</v>
      </c>
    </row>
    <row r="1808" spans="1:7" ht="26.2" x14ac:dyDescent="0.3">
      <c r="A1808" s="1" t="s">
        <v>2302</v>
      </c>
      <c r="B1808" s="1" t="s">
        <v>2309</v>
      </c>
      <c r="C1808" s="1" t="s">
        <v>2310</v>
      </c>
      <c r="D1808" s="2" t="str">
        <f>HYPERLINK("https://inventaire.cncp.gouv.fr/fiches/3188/","3188")</f>
        <v>3188</v>
      </c>
      <c r="E1808" s="2" t="str">
        <f>HYPERLINK("http://www.intercariforef.org/formations/certification-99203.html","99203")</f>
        <v>99203</v>
      </c>
      <c r="F1808" s="3">
        <v>43076</v>
      </c>
      <c r="G1808" s="3">
        <v>43076</v>
      </c>
    </row>
    <row r="1809" spans="1:7" ht="26.2" x14ac:dyDescent="0.3">
      <c r="A1809" s="1" t="s">
        <v>2302</v>
      </c>
      <c r="B1809" s="1" t="s">
        <v>2311</v>
      </c>
      <c r="C1809" s="1" t="s">
        <v>2310</v>
      </c>
      <c r="D1809" s="2" t="str">
        <f>HYPERLINK("https://inventaire.cncp.gouv.fr/fiches/3193/","3193")</f>
        <v>3193</v>
      </c>
      <c r="E1809" s="2" t="str">
        <f>HYPERLINK("http://www.intercariforef.org/formations/certification-99197.html","99197")</f>
        <v>99197</v>
      </c>
      <c r="F1809" s="3">
        <v>43076</v>
      </c>
      <c r="G1809" s="3">
        <v>43076</v>
      </c>
    </row>
    <row r="1810" spans="1:7" ht="26.2" x14ac:dyDescent="0.3">
      <c r="A1810" s="1" t="s">
        <v>2302</v>
      </c>
      <c r="B1810" s="1" t="s">
        <v>2312</v>
      </c>
      <c r="C1810" s="1" t="s">
        <v>2310</v>
      </c>
      <c r="D1810" s="2" t="str">
        <f>HYPERLINK("https://inventaire.cncp.gouv.fr/fiches/3192/","3192")</f>
        <v>3192</v>
      </c>
      <c r="E1810" s="2" t="str">
        <f>HYPERLINK("http://www.intercariforef.org/formations/certification-99199.html","99199")</f>
        <v>99199</v>
      </c>
      <c r="F1810" s="3">
        <v>43076</v>
      </c>
      <c r="G1810" s="3">
        <v>43076</v>
      </c>
    </row>
    <row r="1811" spans="1:7" ht="26.2" x14ac:dyDescent="0.3">
      <c r="A1811" s="1" t="s">
        <v>2302</v>
      </c>
      <c r="B1811" s="1" t="s">
        <v>2313</v>
      </c>
      <c r="C1811" s="1" t="s">
        <v>2310</v>
      </c>
      <c r="D1811" s="2" t="str">
        <f>HYPERLINK("https://inventaire.cncp.gouv.fr/fiches/3191/","3191")</f>
        <v>3191</v>
      </c>
      <c r="E1811" s="2" t="str">
        <f>HYPERLINK("http://www.intercariforef.org/formations/certification-99201.html","99201")</f>
        <v>99201</v>
      </c>
      <c r="F1811" s="3">
        <v>43076</v>
      </c>
      <c r="G1811" s="3">
        <v>43076</v>
      </c>
    </row>
    <row r="1812" spans="1:7" x14ac:dyDescent="0.3">
      <c r="A1812" s="1" t="s">
        <v>2302</v>
      </c>
      <c r="B1812" s="1" t="s">
        <v>2314</v>
      </c>
      <c r="C1812" s="1" t="s">
        <v>361</v>
      </c>
      <c r="D1812" s="2" t="str">
        <f>HYPERLINK("https://inventaire.cncp.gouv.fr/fiches/1998/","1998")</f>
        <v>1998</v>
      </c>
      <c r="E1812" s="2" t="str">
        <f>HYPERLINK("http://www.intercariforef.org/formations/certification-89169.html","89169")</f>
        <v>89169</v>
      </c>
      <c r="F1812" s="3">
        <v>42521</v>
      </c>
      <c r="G1812" s="3">
        <v>42521</v>
      </c>
    </row>
    <row r="1813" spans="1:7" ht="26.2" x14ac:dyDescent="0.3">
      <c r="A1813" s="1" t="s">
        <v>2302</v>
      </c>
      <c r="B1813" s="1" t="s">
        <v>2315</v>
      </c>
      <c r="C1813" s="1" t="s">
        <v>2316</v>
      </c>
      <c r="D1813" s="2" t="str">
        <f>HYPERLINK("https://inventaire.cncp.gouv.fr/fiches/2260/","2260")</f>
        <v>2260</v>
      </c>
      <c r="E1813" s="2" t="str">
        <f>HYPERLINK("http://www.intercariforef.org/formations/certification-92081.html","92081")</f>
        <v>92081</v>
      </c>
      <c r="F1813" s="3">
        <v>42667</v>
      </c>
      <c r="G1813" s="3">
        <v>43125</v>
      </c>
    </row>
    <row r="1814" spans="1:7" x14ac:dyDescent="0.3">
      <c r="A1814" s="1" t="s">
        <v>2302</v>
      </c>
      <c r="B1814" s="1" t="s">
        <v>2317</v>
      </c>
      <c r="C1814" s="1" t="s">
        <v>1252</v>
      </c>
      <c r="D1814" s="2" t="str">
        <f>HYPERLINK("https://inventaire.cncp.gouv.fr/fiches/2727/","2727")</f>
        <v>2727</v>
      </c>
      <c r="E1814" s="2" t="str">
        <f>HYPERLINK("http://www.intercariforef.org/formations/certification-94817.html","94817")</f>
        <v>94817</v>
      </c>
      <c r="F1814" s="3">
        <v>42836</v>
      </c>
      <c r="G1814" s="3">
        <v>42836</v>
      </c>
    </row>
    <row r="1815" spans="1:7" x14ac:dyDescent="0.3">
      <c r="A1815" s="1" t="s">
        <v>2302</v>
      </c>
      <c r="B1815" s="1" t="s">
        <v>2318</v>
      </c>
      <c r="C1815" s="1" t="s">
        <v>2319</v>
      </c>
      <c r="D1815" s="2" t="str">
        <f>HYPERLINK("https://inventaire.cncp.gouv.fr/fiches/2392/","2392")</f>
        <v>2392</v>
      </c>
      <c r="E1815" s="2" t="str">
        <f>HYPERLINK("http://www.intercariforef.org/formations/certification-92143.html","92143")</f>
        <v>92143</v>
      </c>
      <c r="F1815" s="3">
        <v>42667</v>
      </c>
      <c r="G1815" s="3">
        <v>42667</v>
      </c>
    </row>
    <row r="1816" spans="1:7" x14ac:dyDescent="0.3">
      <c r="A1816" s="1" t="s">
        <v>2302</v>
      </c>
      <c r="B1816" s="1" t="s">
        <v>2320</v>
      </c>
      <c r="C1816" s="1" t="s">
        <v>2321</v>
      </c>
      <c r="D1816" s="2" t="str">
        <f>HYPERLINK("https://inventaire.cncp.gouv.fr/fiches/3360/","3360")</f>
        <v>3360</v>
      </c>
      <c r="E1816" s="2" t="str">
        <f>HYPERLINK("http://www.intercariforef.org/formations/certification-100035.html","100035")</f>
        <v>100035</v>
      </c>
      <c r="F1816" s="3">
        <v>43152</v>
      </c>
      <c r="G1816" s="3">
        <v>43152</v>
      </c>
    </row>
    <row r="1817" spans="1:7" x14ac:dyDescent="0.3">
      <c r="A1817" s="1" t="s">
        <v>2302</v>
      </c>
      <c r="B1817" s="1" t="s">
        <v>2322</v>
      </c>
      <c r="C1817" s="1" t="s">
        <v>2323</v>
      </c>
      <c r="D1817" s="2" t="str">
        <f>HYPERLINK("https://inventaire.cncp.gouv.fr/fiches/2383/","2383")</f>
        <v>2383</v>
      </c>
      <c r="E1817" s="2" t="str">
        <f>HYPERLINK("http://www.intercariforef.org/formations/certification-92073.html","92073")</f>
        <v>92073</v>
      </c>
      <c r="F1817" s="3">
        <v>42667</v>
      </c>
      <c r="G1817" s="3">
        <v>42667</v>
      </c>
    </row>
    <row r="1818" spans="1:7" x14ac:dyDescent="0.3">
      <c r="A1818" s="1" t="s">
        <v>2302</v>
      </c>
      <c r="B1818" s="1" t="s">
        <v>2324</v>
      </c>
      <c r="C1818" s="1" t="s">
        <v>2325</v>
      </c>
      <c r="D1818" s="2" t="str">
        <f>HYPERLINK("https://inventaire.cncp.gouv.fr/fiches/3256/","3256")</f>
        <v>3256</v>
      </c>
      <c r="E1818" s="2" t="str">
        <f>HYPERLINK("http://www.intercariforef.org/formations/certification-100713.html","100713")</f>
        <v>100713</v>
      </c>
      <c r="F1818" s="3">
        <v>43199</v>
      </c>
      <c r="G1818" s="3">
        <v>43199</v>
      </c>
    </row>
    <row r="1819" spans="1:7" x14ac:dyDescent="0.3">
      <c r="A1819" s="1" t="s">
        <v>2326</v>
      </c>
      <c r="B1819" s="1" t="s">
        <v>2327</v>
      </c>
      <c r="C1819" s="1" t="s">
        <v>2328</v>
      </c>
      <c r="D1819" s="2" t="str">
        <f>HYPERLINK("https://inventaire.cncp.gouv.fr/fiches/2406/","2406")</f>
        <v>2406</v>
      </c>
      <c r="E1819" s="2" t="str">
        <f>HYPERLINK("http://www.intercariforef.org/formations/certification-92067.html","92067")</f>
        <v>92067</v>
      </c>
      <c r="F1819" s="3">
        <v>42667</v>
      </c>
      <c r="G1819" s="3">
        <v>42667</v>
      </c>
    </row>
    <row r="1820" spans="1:7" x14ac:dyDescent="0.3">
      <c r="A1820" s="1" t="s">
        <v>2326</v>
      </c>
      <c r="B1820" s="1" t="s">
        <v>2329</v>
      </c>
      <c r="C1820" s="1" t="s">
        <v>2328</v>
      </c>
      <c r="D1820" s="2" t="str">
        <f>HYPERLINK("https://inventaire.cncp.gouv.fr/fiches/3289/","3289")</f>
        <v>3289</v>
      </c>
      <c r="E1820" s="2" t="str">
        <f>HYPERLINK("http://www.intercariforef.org/formations/certification-100089.html","100089")</f>
        <v>100089</v>
      </c>
      <c r="F1820" s="3">
        <v>43152</v>
      </c>
      <c r="G1820" s="3">
        <v>43152</v>
      </c>
    </row>
    <row r="1821" spans="1:7" x14ac:dyDescent="0.3">
      <c r="A1821" s="1" t="s">
        <v>2326</v>
      </c>
      <c r="B1821" s="1" t="s">
        <v>2330</v>
      </c>
      <c r="C1821" s="1" t="s">
        <v>2328</v>
      </c>
      <c r="D1821" s="2" t="str">
        <f>HYPERLINK("https://inventaire.cncp.gouv.fr/fiches/2407/","2407")</f>
        <v>2407</v>
      </c>
      <c r="E1821" s="2" t="str">
        <f>HYPERLINK("http://www.intercariforef.org/formations/certification-92065.html","92065")</f>
        <v>92065</v>
      </c>
      <c r="F1821" s="3">
        <v>42667</v>
      </c>
      <c r="G1821" s="3">
        <v>42718</v>
      </c>
    </row>
    <row r="1822" spans="1:7" x14ac:dyDescent="0.3">
      <c r="A1822" s="1" t="s">
        <v>2326</v>
      </c>
      <c r="B1822" s="1" t="s">
        <v>2331</v>
      </c>
      <c r="C1822" s="1" t="s">
        <v>422</v>
      </c>
      <c r="D1822" s="2" t="str">
        <f>HYPERLINK("https://inventaire.cncp.gouv.fr/fiches/3420/","3420")</f>
        <v>3420</v>
      </c>
      <c r="E1822" s="2" t="str">
        <f>HYPERLINK("http://www.intercariforef.org/formations/certification-100551.html","100551")</f>
        <v>100551</v>
      </c>
      <c r="F1822" s="3">
        <v>43188</v>
      </c>
      <c r="G1822" s="3">
        <v>43188</v>
      </c>
    </row>
    <row r="1823" spans="1:7" ht="26.2" x14ac:dyDescent="0.3">
      <c r="A1823" s="1" t="s">
        <v>2326</v>
      </c>
      <c r="B1823" s="1" t="s">
        <v>2332</v>
      </c>
      <c r="C1823" s="1" t="s">
        <v>2333</v>
      </c>
      <c r="D1823" s="2" t="str">
        <f>HYPERLINK("https://inventaire.cncp.gouv.fr/fiches/3821/","3821")</f>
        <v>3821</v>
      </c>
      <c r="E1823" s="2" t="str">
        <f>HYPERLINK("http://www.intercariforef.org/formations/certification-102137.html","102137")</f>
        <v>102137</v>
      </c>
      <c r="F1823" s="3">
        <v>43293</v>
      </c>
      <c r="G1823" s="3">
        <v>43293</v>
      </c>
    </row>
    <row r="1824" spans="1:7" x14ac:dyDescent="0.3">
      <c r="A1824" s="1" t="s">
        <v>2326</v>
      </c>
      <c r="B1824" s="1" t="s">
        <v>2334</v>
      </c>
      <c r="C1824" s="1" t="s">
        <v>2335</v>
      </c>
      <c r="D1824" s="2" t="str">
        <f>HYPERLINK("https://inventaire.cncp.gouv.fr/fiches/3378/","3378")</f>
        <v>3378</v>
      </c>
      <c r="E1824" s="2" t="str">
        <f>HYPERLINK("http://www.intercariforef.org/formations/certification-100705.html","100705")</f>
        <v>100705</v>
      </c>
      <c r="F1824" s="3">
        <v>43199</v>
      </c>
      <c r="G1824" s="3">
        <v>43199</v>
      </c>
    </row>
    <row r="1825" spans="1:7" x14ac:dyDescent="0.3">
      <c r="A1825" s="1" t="s">
        <v>2336</v>
      </c>
      <c r="B1825" s="1" t="s">
        <v>2337</v>
      </c>
      <c r="C1825" s="1" t="s">
        <v>2338</v>
      </c>
      <c r="D1825" s="2" t="str">
        <f>HYPERLINK("https://inventaire.cncp.gouv.fr/fiches/2457/","2457")</f>
        <v>2457</v>
      </c>
      <c r="E1825" s="2" t="str">
        <f>HYPERLINK("http://www.intercariforef.org/formations/certification-93847.html","93847")</f>
        <v>93847</v>
      </c>
      <c r="F1825" s="3">
        <v>42744</v>
      </c>
      <c r="G1825" s="3">
        <v>42744</v>
      </c>
    </row>
    <row r="1826" spans="1:7" x14ac:dyDescent="0.3">
      <c r="A1826" s="1" t="s">
        <v>2339</v>
      </c>
      <c r="B1826" s="1" t="s">
        <v>2340</v>
      </c>
      <c r="C1826" s="1" t="s">
        <v>2341</v>
      </c>
      <c r="D1826" s="2" t="str">
        <f>HYPERLINK("https://inventaire.cncp.gouv.fr/fiches/1926/","1926")</f>
        <v>1926</v>
      </c>
      <c r="E1826" s="2" t="str">
        <f>HYPERLINK("http://www.intercariforef.org/formations/certification-90063.html","90063")</f>
        <v>90063</v>
      </c>
      <c r="F1826" s="3">
        <v>42558</v>
      </c>
      <c r="G1826" s="3">
        <v>42718</v>
      </c>
    </row>
    <row r="1827" spans="1:7" ht="91.65" x14ac:dyDescent="0.3">
      <c r="A1827" s="1" t="s">
        <v>2339</v>
      </c>
      <c r="B1827" s="1" t="s">
        <v>2342</v>
      </c>
      <c r="C1827" s="1" t="s">
        <v>2343</v>
      </c>
      <c r="D1827" s="2" t="str">
        <f>HYPERLINK("https://inventaire.cncp.gouv.fr/fiches/3551/","3551")</f>
        <v>3551</v>
      </c>
      <c r="E1827" s="2" t="str">
        <f>HYPERLINK("http://www.intercariforef.org/formations/certification-102757.html","102757")</f>
        <v>102757</v>
      </c>
      <c r="F1827" s="3">
        <v>43333</v>
      </c>
      <c r="G1827" s="3">
        <v>43333</v>
      </c>
    </row>
    <row r="1828" spans="1:7" x14ac:dyDescent="0.3">
      <c r="A1828" s="1" t="s">
        <v>2339</v>
      </c>
      <c r="B1828" s="1" t="s">
        <v>2344</v>
      </c>
      <c r="C1828" s="1" t="s">
        <v>377</v>
      </c>
      <c r="D1828" s="2" t="str">
        <f>HYPERLINK("https://inventaire.cncp.gouv.fr/fiches/3818/","3818")</f>
        <v>3818</v>
      </c>
      <c r="E1828" s="2" t="str">
        <f>HYPERLINK("http://www.intercariforef.org/formations/certification-102155.html","102155")</f>
        <v>102155</v>
      </c>
      <c r="F1828" s="3">
        <v>43293</v>
      </c>
      <c r="G1828" s="3">
        <v>43293</v>
      </c>
    </row>
    <row r="1829" spans="1:7" x14ac:dyDescent="0.3">
      <c r="A1829" s="1" t="s">
        <v>2339</v>
      </c>
      <c r="B1829" s="1" t="s">
        <v>2345</v>
      </c>
      <c r="C1829" s="1" t="s">
        <v>379</v>
      </c>
      <c r="D1829" s="2" t="str">
        <f>HYPERLINK("https://inventaire.cncp.gouv.fr/fiches/2516/","2516")</f>
        <v>2516</v>
      </c>
      <c r="E1829" s="2" t="str">
        <f>HYPERLINK("http://www.intercariforef.org/formations/certification-94823.html","94823")</f>
        <v>94823</v>
      </c>
      <c r="F1829" s="3">
        <v>42836</v>
      </c>
      <c r="G1829" s="3">
        <v>42836</v>
      </c>
    </row>
    <row r="1830" spans="1:7" x14ac:dyDescent="0.3">
      <c r="A1830" s="1" t="s">
        <v>2346</v>
      </c>
      <c r="B1830" s="1" t="s">
        <v>2347</v>
      </c>
      <c r="C1830" s="1" t="s">
        <v>2348</v>
      </c>
      <c r="D1830" s="2" t="str">
        <f>HYPERLINK("https://inventaire.cncp.gouv.fr/fiches/3775/","3775")</f>
        <v>3775</v>
      </c>
      <c r="E1830" s="2" t="str">
        <f>HYPERLINK("http://www.intercariforef.org/formations/certification-102675.html","102675")</f>
        <v>102675</v>
      </c>
      <c r="F1830" s="3">
        <v>43301</v>
      </c>
      <c r="G1830" s="3">
        <v>43301</v>
      </c>
    </row>
    <row r="1831" spans="1:7" x14ac:dyDescent="0.3">
      <c r="A1831" s="1" t="s">
        <v>2346</v>
      </c>
      <c r="B1831" s="1" t="s">
        <v>2349</v>
      </c>
      <c r="C1831" s="1" t="s">
        <v>2348</v>
      </c>
      <c r="D1831" s="2" t="str">
        <f>HYPERLINK("https://inventaire.cncp.gouv.fr/fiches/3749/","3749")</f>
        <v>3749</v>
      </c>
      <c r="E1831" s="2" t="str">
        <f>HYPERLINK("http://www.intercariforef.org/formations/certification-102679.html","102679")</f>
        <v>102679</v>
      </c>
      <c r="F1831" s="3">
        <v>43301</v>
      </c>
      <c r="G1831" s="3">
        <v>43301</v>
      </c>
    </row>
    <row r="1832" spans="1:7" x14ac:dyDescent="0.3">
      <c r="A1832" s="1" t="s">
        <v>2346</v>
      </c>
      <c r="B1832" s="1" t="s">
        <v>2350</v>
      </c>
      <c r="C1832" s="1" t="s">
        <v>2348</v>
      </c>
      <c r="D1832" s="2" t="str">
        <f>HYPERLINK("https://inventaire.cncp.gouv.fr/fiches/3773/","3773")</f>
        <v>3773</v>
      </c>
      <c r="E1832" s="2" t="str">
        <f>HYPERLINK("http://www.intercariforef.org/formations/certification-102677.html","102677")</f>
        <v>102677</v>
      </c>
      <c r="F1832" s="3">
        <v>43301</v>
      </c>
      <c r="G1832" s="3">
        <v>43301</v>
      </c>
    </row>
    <row r="1833" spans="1:7" x14ac:dyDescent="0.3">
      <c r="A1833" s="1" t="s">
        <v>2346</v>
      </c>
      <c r="B1833" s="1" t="s">
        <v>2351</v>
      </c>
      <c r="C1833" s="1" t="s">
        <v>2348</v>
      </c>
      <c r="D1833" s="2" t="str">
        <f>HYPERLINK("https://inventaire.cncp.gouv.fr/fiches/3779/","3779")</f>
        <v>3779</v>
      </c>
      <c r="E1833" s="2" t="str">
        <f>HYPERLINK("http://www.intercariforef.org/formations/certification-102669.html","102669")</f>
        <v>102669</v>
      </c>
      <c r="F1833" s="3">
        <v>43301</v>
      </c>
      <c r="G1833" s="3">
        <v>43301</v>
      </c>
    </row>
    <row r="1834" spans="1:7" x14ac:dyDescent="0.3">
      <c r="A1834" s="1" t="s">
        <v>2346</v>
      </c>
      <c r="B1834" s="1" t="s">
        <v>2352</v>
      </c>
      <c r="C1834" s="1" t="s">
        <v>2348</v>
      </c>
      <c r="D1834" s="2" t="str">
        <f>HYPERLINK("https://inventaire.cncp.gouv.fr/fiches/3776/","3776")</f>
        <v>3776</v>
      </c>
      <c r="E1834" s="2" t="str">
        <f>HYPERLINK("http://www.intercariforef.org/formations/certification-102673.html","102673")</f>
        <v>102673</v>
      </c>
      <c r="F1834" s="3">
        <v>43301</v>
      </c>
      <c r="G1834" s="3">
        <v>43301</v>
      </c>
    </row>
    <row r="1835" spans="1:7" x14ac:dyDescent="0.3">
      <c r="A1835" s="1" t="s">
        <v>2346</v>
      </c>
      <c r="B1835" s="1" t="s">
        <v>2353</v>
      </c>
      <c r="C1835" s="1" t="s">
        <v>2354</v>
      </c>
      <c r="D1835" s="2" t="str">
        <f>HYPERLINK("https://inventaire.cncp.gouv.fr/fiches/3490/","3490")</f>
        <v>3490</v>
      </c>
      <c r="E1835" s="2" t="str">
        <f>HYPERLINK("http://www.intercariforef.org/formations/certification-100723.html","100723")</f>
        <v>100723</v>
      </c>
      <c r="F1835" s="3">
        <v>43200</v>
      </c>
      <c r="G1835" s="3">
        <v>43200</v>
      </c>
    </row>
    <row r="1836" spans="1:7" x14ac:dyDescent="0.3">
      <c r="A1836" s="1" t="s">
        <v>2346</v>
      </c>
      <c r="B1836" s="1" t="s">
        <v>2355</v>
      </c>
      <c r="C1836" s="1" t="s">
        <v>2356</v>
      </c>
      <c r="D1836" s="2" t="str">
        <f>HYPERLINK("https://inventaire.cncp.gouv.fr/fiches/1452/","1452")</f>
        <v>1452</v>
      </c>
      <c r="E1836" s="2" t="str">
        <f>HYPERLINK("http://www.intercariforef.org/formations/certification-86401.html","86401")</f>
        <v>86401</v>
      </c>
      <c r="F1836" s="3">
        <v>42340</v>
      </c>
      <c r="G1836" s="3">
        <v>42979</v>
      </c>
    </row>
    <row r="1837" spans="1:7" x14ac:dyDescent="0.3">
      <c r="A1837" s="1" t="s">
        <v>2346</v>
      </c>
      <c r="B1837" s="1" t="s">
        <v>2357</v>
      </c>
      <c r="C1837" s="1" t="s">
        <v>2356</v>
      </c>
      <c r="D1837" s="2" t="str">
        <f>HYPERLINK("https://inventaire.cncp.gouv.fr/fiches/1456/","1456")</f>
        <v>1456</v>
      </c>
      <c r="E1837" s="2" t="str">
        <f>HYPERLINK("http://www.intercariforef.org/formations/certification-86400.html","86400")</f>
        <v>86400</v>
      </c>
      <c r="F1837" s="3">
        <v>42340</v>
      </c>
      <c r="G1837" s="3">
        <v>42979</v>
      </c>
    </row>
    <row r="1838" spans="1:7" x14ac:dyDescent="0.3">
      <c r="A1838" s="1" t="s">
        <v>2346</v>
      </c>
      <c r="B1838" s="1" t="s">
        <v>2358</v>
      </c>
      <c r="C1838" s="1" t="s">
        <v>2359</v>
      </c>
      <c r="D1838" s="2" t="str">
        <f>HYPERLINK("https://inventaire.cncp.gouv.fr/fiches/3292/","3292")</f>
        <v>3292</v>
      </c>
      <c r="E1838" s="2" t="str">
        <f>HYPERLINK("http://www.intercariforef.org/formations/certification-100555.html","100555")</f>
        <v>100555</v>
      </c>
      <c r="F1838" s="3">
        <v>43188</v>
      </c>
      <c r="G1838" s="3">
        <v>43188</v>
      </c>
    </row>
    <row r="1839" spans="1:7" x14ac:dyDescent="0.3">
      <c r="A1839" s="1" t="s">
        <v>2346</v>
      </c>
      <c r="B1839" s="1" t="s">
        <v>2360</v>
      </c>
      <c r="C1839" s="1" t="s">
        <v>2361</v>
      </c>
      <c r="D1839" s="2" t="str">
        <f>HYPERLINK("https://inventaire.cncp.gouv.fr/fiches/2592/","2592")</f>
        <v>2592</v>
      </c>
      <c r="E1839" s="2" t="str">
        <f>HYPERLINK("http://www.intercariforef.org/formations/certification-94899.html","94899")</f>
        <v>94899</v>
      </c>
      <c r="F1839" s="3">
        <v>42836</v>
      </c>
      <c r="G1839" s="3">
        <v>42836</v>
      </c>
    </row>
    <row r="1840" spans="1:7" x14ac:dyDescent="0.3">
      <c r="A1840" s="1" t="s">
        <v>2346</v>
      </c>
      <c r="B1840" s="1" t="s">
        <v>2362</v>
      </c>
      <c r="C1840" s="1" t="s">
        <v>2363</v>
      </c>
      <c r="D1840" s="2" t="str">
        <f>HYPERLINK("https://inventaire.cncp.gouv.fr/fiches/3334/","3334")</f>
        <v>3334</v>
      </c>
      <c r="E1840" s="2" t="str">
        <f>HYPERLINK("http://www.intercariforef.org/formations/certification-100553.html","100553")</f>
        <v>100553</v>
      </c>
      <c r="F1840" s="3">
        <v>43188</v>
      </c>
      <c r="G1840" s="3">
        <v>43188</v>
      </c>
    </row>
    <row r="1841" spans="1:7" x14ac:dyDescent="0.3">
      <c r="A1841" s="1" t="s">
        <v>2346</v>
      </c>
      <c r="B1841" s="1" t="s">
        <v>2364</v>
      </c>
      <c r="C1841" s="1" t="s">
        <v>2365</v>
      </c>
      <c r="D1841" s="2" t="str">
        <f>HYPERLINK("https://inventaire.cncp.gouv.fr/fiches/2613/","2613")</f>
        <v>2613</v>
      </c>
      <c r="E1841" s="2" t="str">
        <f>HYPERLINK("http://www.intercariforef.org/formations/certification-96437.html","96437")</f>
        <v>96437</v>
      </c>
      <c r="F1841" s="3">
        <v>42923</v>
      </c>
      <c r="G1841" s="3">
        <v>42923</v>
      </c>
    </row>
    <row r="1842" spans="1:7" ht="26.2" x14ac:dyDescent="0.3">
      <c r="A1842" s="1" t="s">
        <v>2346</v>
      </c>
      <c r="B1842" s="1" t="s">
        <v>2366</v>
      </c>
      <c r="C1842" s="1" t="s">
        <v>2367</v>
      </c>
      <c r="D1842" s="2" t="str">
        <f>HYPERLINK("https://inventaire.cncp.gouv.fr/fiches/2466/","2466")</f>
        <v>2466</v>
      </c>
      <c r="E1842" s="2" t="str">
        <f>HYPERLINK("http://www.intercariforef.org/formations/certification-93855.html","93855")</f>
        <v>93855</v>
      </c>
      <c r="F1842" s="3">
        <v>42744</v>
      </c>
      <c r="G1842" s="3">
        <v>42744</v>
      </c>
    </row>
    <row r="1843" spans="1:7" ht="26.2" x14ac:dyDescent="0.3">
      <c r="A1843" s="1" t="s">
        <v>2346</v>
      </c>
      <c r="B1843" s="1" t="s">
        <v>2368</v>
      </c>
      <c r="C1843" s="1" t="s">
        <v>79</v>
      </c>
      <c r="D1843" s="2" t="str">
        <f>HYPERLINK("https://inventaire.cncp.gouv.fr/fiches/2626/","2626")</f>
        <v>2626</v>
      </c>
      <c r="E1843" s="2" t="str">
        <f>HYPERLINK("http://www.intercariforef.org/formations/certification-94511.html","94511")</f>
        <v>94511</v>
      </c>
      <c r="F1843" s="3">
        <v>42802</v>
      </c>
      <c r="G1843" s="3">
        <v>43111</v>
      </c>
    </row>
    <row r="1844" spans="1:7" ht="26.2" x14ac:dyDescent="0.3">
      <c r="A1844" s="1" t="s">
        <v>2346</v>
      </c>
      <c r="B1844" s="1" t="s">
        <v>2369</v>
      </c>
      <c r="C1844" s="1" t="s">
        <v>79</v>
      </c>
      <c r="D1844" s="2" t="str">
        <f>HYPERLINK("https://inventaire.cncp.gouv.fr/fiches/2416/","2416")</f>
        <v>2416</v>
      </c>
      <c r="E1844" s="2" t="str">
        <f>HYPERLINK("http://www.intercariforef.org/formations/certification-94149.html","94149")</f>
        <v>94149</v>
      </c>
      <c r="F1844" s="3">
        <v>42772</v>
      </c>
      <c r="G1844" s="3">
        <v>43111</v>
      </c>
    </row>
    <row r="1845" spans="1:7" ht="26.2" x14ac:dyDescent="0.3">
      <c r="A1845" s="1" t="s">
        <v>2346</v>
      </c>
      <c r="B1845" s="1" t="s">
        <v>2370</v>
      </c>
      <c r="C1845" s="1" t="s">
        <v>2371</v>
      </c>
      <c r="D1845" s="2" t="str">
        <f>HYPERLINK("https://inventaire.cncp.gouv.fr/fiches/2417/","2417")</f>
        <v>2417</v>
      </c>
      <c r="E1845" s="2" t="str">
        <f>HYPERLINK("http://www.intercariforef.org/formations/certification-94025.html","94025")</f>
        <v>94025</v>
      </c>
      <c r="F1845" s="3">
        <v>42747</v>
      </c>
      <c r="G1845" s="3">
        <v>43111</v>
      </c>
    </row>
    <row r="1846" spans="1:7" ht="26.2" x14ac:dyDescent="0.3">
      <c r="A1846" s="1" t="s">
        <v>2346</v>
      </c>
      <c r="B1846" s="1" t="s">
        <v>2372</v>
      </c>
      <c r="C1846" s="1" t="s">
        <v>79</v>
      </c>
      <c r="D1846" s="2" t="str">
        <f>HYPERLINK("https://inventaire.cncp.gouv.fr/fiches/2409/","2409")</f>
        <v>2409</v>
      </c>
      <c r="E1846" s="2" t="str">
        <f>HYPERLINK("http://www.intercariforef.org/formations/certification-94151.html","94151")</f>
        <v>94151</v>
      </c>
      <c r="F1846" s="3">
        <v>42772</v>
      </c>
      <c r="G1846" s="3">
        <v>43111</v>
      </c>
    </row>
    <row r="1847" spans="1:7" x14ac:dyDescent="0.3">
      <c r="A1847" s="1" t="s">
        <v>2346</v>
      </c>
      <c r="B1847" s="1" t="s">
        <v>2373</v>
      </c>
      <c r="C1847" s="1" t="s">
        <v>79</v>
      </c>
      <c r="D1847" s="2" t="str">
        <f>HYPERLINK("https://inventaire.cncp.gouv.fr/fiches/2659/","2659")</f>
        <v>2659</v>
      </c>
      <c r="E1847" s="2" t="str">
        <f>HYPERLINK("http://www.intercariforef.org/formations/certification-82314.html","82314")</f>
        <v>82314</v>
      </c>
      <c r="F1847" s="3">
        <v>41613</v>
      </c>
      <c r="G1847" s="3">
        <v>43111</v>
      </c>
    </row>
    <row r="1848" spans="1:7" x14ac:dyDescent="0.3">
      <c r="A1848" s="1" t="s">
        <v>2346</v>
      </c>
      <c r="B1848" s="1" t="s">
        <v>2374</v>
      </c>
      <c r="C1848" s="1" t="s">
        <v>2375</v>
      </c>
      <c r="D1848" s="2" t="str">
        <f>HYPERLINK("https://inventaire.cncp.gouv.fr/fiches/2523/","2523")</f>
        <v>2523</v>
      </c>
      <c r="E1848" s="2" t="str">
        <f>HYPERLINK("http://www.intercariforef.org/formations/certification-94749.html","94749")</f>
        <v>94749</v>
      </c>
      <c r="F1848" s="3">
        <v>42828</v>
      </c>
      <c r="G1848" s="3">
        <v>42828</v>
      </c>
    </row>
    <row r="1849" spans="1:7" x14ac:dyDescent="0.3">
      <c r="A1849" s="1" t="s">
        <v>2346</v>
      </c>
      <c r="B1849" s="1" t="s">
        <v>2376</v>
      </c>
      <c r="C1849" s="1" t="s">
        <v>2377</v>
      </c>
      <c r="D1849" s="2" t="str">
        <f>HYPERLINK("https://inventaire.cncp.gouv.fr/fiches/3363/","3363")</f>
        <v>3363</v>
      </c>
      <c r="E1849" s="2" t="str">
        <f>HYPERLINK("http://www.intercariforef.org/formations/certification-100617.html","100617")</f>
        <v>100617</v>
      </c>
      <c r="F1849" s="3">
        <v>43193</v>
      </c>
      <c r="G1849" s="3">
        <v>43193</v>
      </c>
    </row>
    <row r="1850" spans="1:7" x14ac:dyDescent="0.3">
      <c r="A1850" s="1" t="s">
        <v>2346</v>
      </c>
      <c r="B1850" s="1" t="s">
        <v>2378</v>
      </c>
      <c r="C1850" s="1" t="s">
        <v>2356</v>
      </c>
      <c r="D1850" s="2" t="str">
        <f>HYPERLINK("https://inventaire.cncp.gouv.fr/fiches/127/","127")</f>
        <v>127</v>
      </c>
      <c r="E1850" s="2" t="str">
        <f>HYPERLINK("http://www.intercariforef.org/formations/certification-84698.html","84698")</f>
        <v>84698</v>
      </c>
      <c r="F1850" s="3">
        <v>42156</v>
      </c>
      <c r="G1850" s="3">
        <v>42718</v>
      </c>
    </row>
    <row r="1851" spans="1:7" x14ac:dyDescent="0.3">
      <c r="A1851" s="1" t="s">
        <v>2346</v>
      </c>
      <c r="B1851" s="1" t="s">
        <v>2379</v>
      </c>
      <c r="C1851" s="1" t="s">
        <v>2348</v>
      </c>
      <c r="D1851" s="2" t="str">
        <f>HYPERLINK("https://inventaire.cncp.gouv.fr/fiches/3780/","3780")</f>
        <v>3780</v>
      </c>
      <c r="E1851" s="2" t="str">
        <f>HYPERLINK("http://www.intercariforef.org/formations/certification-102667.html","102667")</f>
        <v>102667</v>
      </c>
      <c r="F1851" s="3">
        <v>43301</v>
      </c>
      <c r="G1851" s="3">
        <v>43301</v>
      </c>
    </row>
    <row r="1852" spans="1:7" x14ac:dyDescent="0.3">
      <c r="A1852" s="1" t="s">
        <v>2346</v>
      </c>
      <c r="B1852" s="1" t="s">
        <v>2380</v>
      </c>
      <c r="C1852" s="1" t="s">
        <v>2361</v>
      </c>
      <c r="D1852" s="2" t="str">
        <f>HYPERLINK("https://inventaire.cncp.gouv.fr/fiches/2598/","2598")</f>
        <v>2598</v>
      </c>
      <c r="E1852" s="2" t="str">
        <f>HYPERLINK("http://www.intercariforef.org/formations/certification-94895.html","94895")</f>
        <v>94895</v>
      </c>
      <c r="F1852" s="3">
        <v>42836</v>
      </c>
      <c r="G1852" s="3">
        <v>42836</v>
      </c>
    </row>
    <row r="1853" spans="1:7" x14ac:dyDescent="0.3">
      <c r="A1853" s="1" t="s">
        <v>2346</v>
      </c>
      <c r="B1853" s="1" t="s">
        <v>2381</v>
      </c>
      <c r="C1853" s="1" t="s">
        <v>2361</v>
      </c>
      <c r="D1853" s="2" t="str">
        <f>HYPERLINK("https://inventaire.cncp.gouv.fr/fiches/2591/","2591")</f>
        <v>2591</v>
      </c>
      <c r="E1853" s="2" t="str">
        <f>HYPERLINK("http://www.intercariforef.org/formations/certification-94901.html","94901")</f>
        <v>94901</v>
      </c>
      <c r="F1853" s="3">
        <v>42836</v>
      </c>
      <c r="G1853" s="3">
        <v>42836</v>
      </c>
    </row>
    <row r="1854" spans="1:7" x14ac:dyDescent="0.3">
      <c r="A1854" s="1" t="s">
        <v>2346</v>
      </c>
      <c r="B1854" s="1" t="s">
        <v>2382</v>
      </c>
      <c r="C1854" s="1" t="s">
        <v>2348</v>
      </c>
      <c r="D1854" s="2" t="str">
        <f>HYPERLINK("https://inventaire.cncp.gouv.fr/fiches/3782/","3782")</f>
        <v>3782</v>
      </c>
      <c r="E1854" s="2" t="str">
        <f>HYPERLINK("http://www.intercariforef.org/formations/certification-102665.html","102665")</f>
        <v>102665</v>
      </c>
      <c r="F1854" s="3">
        <v>43301</v>
      </c>
      <c r="G1854" s="3">
        <v>43301</v>
      </c>
    </row>
    <row r="1855" spans="1:7" x14ac:dyDescent="0.3">
      <c r="A1855" s="1" t="s">
        <v>2346</v>
      </c>
      <c r="B1855" s="1" t="s">
        <v>2383</v>
      </c>
      <c r="C1855" s="1" t="s">
        <v>2361</v>
      </c>
      <c r="D1855" s="2" t="str">
        <f>HYPERLINK("https://inventaire.cncp.gouv.fr/fiches/2570/","2570")</f>
        <v>2570</v>
      </c>
      <c r="E1855" s="2" t="str">
        <f>HYPERLINK("http://www.intercariforef.org/formations/certification-94905.html","94905")</f>
        <v>94905</v>
      </c>
      <c r="F1855" s="3">
        <v>42836</v>
      </c>
      <c r="G1855" s="3">
        <v>42836</v>
      </c>
    </row>
    <row r="1856" spans="1:7" x14ac:dyDescent="0.3">
      <c r="A1856" s="1" t="s">
        <v>2346</v>
      </c>
      <c r="B1856" s="1" t="s">
        <v>2384</v>
      </c>
      <c r="C1856" s="1" t="s">
        <v>2348</v>
      </c>
      <c r="D1856" s="2" t="str">
        <f>HYPERLINK("https://inventaire.cncp.gouv.fr/fiches/3784/","3784")</f>
        <v>3784</v>
      </c>
      <c r="E1856" s="2" t="str">
        <f>HYPERLINK("http://www.intercariforef.org/formations/certification-102663.html","102663")</f>
        <v>102663</v>
      </c>
      <c r="F1856" s="3">
        <v>43301</v>
      </c>
      <c r="G1856" s="3">
        <v>43301</v>
      </c>
    </row>
    <row r="1857" spans="1:7" x14ac:dyDescent="0.3">
      <c r="A1857" s="1" t="s">
        <v>2346</v>
      </c>
      <c r="B1857" s="1" t="s">
        <v>2385</v>
      </c>
      <c r="C1857" s="1" t="s">
        <v>2348</v>
      </c>
      <c r="D1857" s="2" t="str">
        <f>HYPERLINK("https://inventaire.cncp.gouv.fr/fiches/3777/","3777")</f>
        <v>3777</v>
      </c>
      <c r="E1857" s="2" t="str">
        <f>HYPERLINK("http://www.intercariforef.org/formations/certification-102671.html","102671")</f>
        <v>102671</v>
      </c>
      <c r="F1857" s="3">
        <v>43301</v>
      </c>
      <c r="G1857" s="3">
        <v>43301</v>
      </c>
    </row>
    <row r="1858" spans="1:7" x14ac:dyDescent="0.3">
      <c r="A1858" s="1" t="s">
        <v>2346</v>
      </c>
      <c r="B1858" s="1" t="s">
        <v>2386</v>
      </c>
      <c r="C1858" s="1" t="s">
        <v>2361</v>
      </c>
      <c r="D1858" s="2" t="str">
        <f>HYPERLINK("https://inventaire.cncp.gouv.fr/fiches/2593/","2593")</f>
        <v>2593</v>
      </c>
      <c r="E1858" s="2" t="str">
        <f>HYPERLINK("http://www.intercariforef.org/formations/certification-94897.html","94897")</f>
        <v>94897</v>
      </c>
      <c r="F1858" s="3">
        <v>42836</v>
      </c>
      <c r="G1858" s="3">
        <v>42836</v>
      </c>
    </row>
    <row r="1859" spans="1:7" x14ac:dyDescent="0.3">
      <c r="A1859" s="1" t="s">
        <v>2346</v>
      </c>
      <c r="B1859" s="1" t="s">
        <v>2387</v>
      </c>
      <c r="C1859" s="1" t="s">
        <v>2361</v>
      </c>
      <c r="D1859" s="2" t="str">
        <f>HYPERLINK("https://inventaire.cncp.gouv.fr/fiches/2601/","2601")</f>
        <v>2601</v>
      </c>
      <c r="E1859" s="2" t="str">
        <f>HYPERLINK("http://www.intercariforef.org/formations/certification-94893.html","94893")</f>
        <v>94893</v>
      </c>
      <c r="F1859" s="3">
        <v>42836</v>
      </c>
      <c r="G1859" s="3">
        <v>42836</v>
      </c>
    </row>
    <row r="1860" spans="1:7" x14ac:dyDescent="0.3">
      <c r="A1860" s="1" t="s">
        <v>2388</v>
      </c>
      <c r="B1860" s="1" t="s">
        <v>2389</v>
      </c>
      <c r="C1860" s="1" t="s">
        <v>920</v>
      </c>
      <c r="D1860" s="2" t="str">
        <f>HYPERLINK("https://inventaire.cncp.gouv.fr/fiches/2777/","2777")</f>
        <v>2777</v>
      </c>
      <c r="E1860" s="2" t="str">
        <f>HYPERLINK("http://www.intercariforef.org/formations/certification-95641.html","95641")</f>
        <v>95641</v>
      </c>
      <c r="F1860" s="3">
        <v>42893</v>
      </c>
      <c r="G1860" s="3">
        <v>42893</v>
      </c>
    </row>
    <row r="1861" spans="1:7" x14ac:dyDescent="0.3">
      <c r="A1861" s="1" t="s">
        <v>2388</v>
      </c>
      <c r="B1861" s="1" t="s">
        <v>2390</v>
      </c>
      <c r="C1861" s="1" t="s">
        <v>2391</v>
      </c>
      <c r="D1861" s="2" t="str">
        <f>HYPERLINK("https://inventaire.cncp.gouv.fr/fiches/540/","540")</f>
        <v>540</v>
      </c>
      <c r="E1861" s="2" t="str">
        <f>HYPERLINK("http://www.intercariforef.org/formations/certification-84853.html","84853")</f>
        <v>84853</v>
      </c>
      <c r="F1861" s="3">
        <v>42177</v>
      </c>
      <c r="G1861" s="3">
        <v>42177</v>
      </c>
    </row>
    <row r="1862" spans="1:7" x14ac:dyDescent="0.3">
      <c r="A1862" s="1" t="s">
        <v>2388</v>
      </c>
      <c r="B1862" s="1" t="s">
        <v>2392</v>
      </c>
      <c r="C1862" s="1" t="s">
        <v>2393</v>
      </c>
      <c r="D1862" s="2" t="str">
        <f>HYPERLINK("https://inventaire.cncp.gouv.fr/fiches/612/","612")</f>
        <v>612</v>
      </c>
      <c r="E1862" s="2" t="str">
        <f>HYPERLINK("http://www.intercariforef.org/formations/certification-84875.html","84875")</f>
        <v>84875</v>
      </c>
      <c r="F1862" s="3">
        <v>42177</v>
      </c>
      <c r="G1862" s="3">
        <v>42177</v>
      </c>
    </row>
    <row r="1863" spans="1:7" x14ac:dyDescent="0.3">
      <c r="A1863" s="1" t="s">
        <v>2388</v>
      </c>
      <c r="B1863" s="1" t="s">
        <v>2394</v>
      </c>
      <c r="C1863" s="1" t="s">
        <v>2393</v>
      </c>
      <c r="D1863" s="2" t="str">
        <f>HYPERLINK("https://inventaire.cncp.gouv.fr/fiches/613/","613")</f>
        <v>613</v>
      </c>
      <c r="E1863" s="2" t="str">
        <f>HYPERLINK("http://www.intercariforef.org/formations/certification-84881.html","84881")</f>
        <v>84881</v>
      </c>
      <c r="F1863" s="3">
        <v>42177</v>
      </c>
      <c r="G1863" s="3">
        <v>42177</v>
      </c>
    </row>
    <row r="1864" spans="1:7" x14ac:dyDescent="0.3">
      <c r="A1864" s="1" t="s">
        <v>2388</v>
      </c>
      <c r="B1864" s="1" t="s">
        <v>2395</v>
      </c>
      <c r="C1864" s="1" t="s">
        <v>2393</v>
      </c>
      <c r="D1864" s="2" t="str">
        <f>HYPERLINK("https://inventaire.cncp.gouv.fr/fiches/334/","334")</f>
        <v>334</v>
      </c>
      <c r="E1864" s="2" t="str">
        <f>HYPERLINK("http://www.intercariforef.org/formations/certification-84882.html","84882")</f>
        <v>84882</v>
      </c>
      <c r="F1864" s="3">
        <v>42177</v>
      </c>
      <c r="G1864" s="3">
        <v>42177</v>
      </c>
    </row>
    <row r="1865" spans="1:7" x14ac:dyDescent="0.3">
      <c r="A1865" s="1" t="s">
        <v>2388</v>
      </c>
      <c r="B1865" s="1" t="s">
        <v>2396</v>
      </c>
      <c r="C1865" s="1" t="s">
        <v>2393</v>
      </c>
      <c r="D1865" s="2" t="str">
        <f>HYPERLINK("https://inventaire.cncp.gouv.fr/fiches/337/","337")</f>
        <v>337</v>
      </c>
      <c r="E1865" s="2" t="str">
        <f>HYPERLINK("http://www.intercariforef.org/formations/certification-84892.html","84892")</f>
        <v>84892</v>
      </c>
      <c r="F1865" s="3">
        <v>42177</v>
      </c>
      <c r="G1865" s="3">
        <v>42177</v>
      </c>
    </row>
    <row r="1866" spans="1:7" x14ac:dyDescent="0.3">
      <c r="A1866" s="1" t="s">
        <v>2388</v>
      </c>
      <c r="B1866" s="1" t="s">
        <v>2397</v>
      </c>
      <c r="C1866" s="1" t="s">
        <v>2393</v>
      </c>
      <c r="D1866" s="2" t="str">
        <f>HYPERLINK("https://inventaire.cncp.gouv.fr/fiches/336/","336")</f>
        <v>336</v>
      </c>
      <c r="E1866" s="2" t="str">
        <f>HYPERLINK("http://www.intercariforef.org/formations/certification-84883.html","84883")</f>
        <v>84883</v>
      </c>
      <c r="F1866" s="3">
        <v>42177</v>
      </c>
      <c r="G1866" s="3">
        <v>42177</v>
      </c>
    </row>
    <row r="1867" spans="1:7" x14ac:dyDescent="0.3">
      <c r="A1867" s="1" t="s">
        <v>2388</v>
      </c>
      <c r="B1867" s="1" t="s">
        <v>2398</v>
      </c>
      <c r="C1867" s="1" t="s">
        <v>2393</v>
      </c>
      <c r="D1867" s="2" t="str">
        <f>HYPERLINK("https://inventaire.cncp.gouv.fr/fiches/4024/","4024")</f>
        <v>4024</v>
      </c>
      <c r="E1867" s="2" t="str">
        <f>HYPERLINK("http://www.intercariforef.org/formations/certification-84464.html","84464")</f>
        <v>84464</v>
      </c>
      <c r="F1867" s="3">
        <v>42109</v>
      </c>
      <c r="G1867" s="3">
        <v>43349</v>
      </c>
    </row>
    <row r="1868" spans="1:7" x14ac:dyDescent="0.3">
      <c r="A1868" s="1" t="s">
        <v>2388</v>
      </c>
      <c r="B1868" s="1" t="s">
        <v>2399</v>
      </c>
      <c r="C1868" s="1" t="s">
        <v>2393</v>
      </c>
      <c r="D1868" s="2" t="str">
        <f>HYPERLINK("https://inventaire.cncp.gouv.fr/fiches/349/","349")</f>
        <v>349</v>
      </c>
      <c r="E1868" s="2" t="str">
        <f>HYPERLINK("http://www.intercariforef.org/formations/certification-84893.html","84893")</f>
        <v>84893</v>
      </c>
      <c r="F1868" s="3">
        <v>42177</v>
      </c>
      <c r="G1868" s="3">
        <v>42177</v>
      </c>
    </row>
    <row r="1869" spans="1:7" x14ac:dyDescent="0.3">
      <c r="A1869" s="1" t="s">
        <v>2388</v>
      </c>
      <c r="B1869" s="1" t="s">
        <v>2400</v>
      </c>
      <c r="C1869" s="1" t="s">
        <v>2393</v>
      </c>
      <c r="D1869" s="2" t="str">
        <f>HYPERLINK("https://inventaire.cncp.gouv.fr/fiches/382/","382")</f>
        <v>382</v>
      </c>
      <c r="E1869" s="2" t="str">
        <f>HYPERLINK("http://www.intercariforef.org/formations/certification-84894.html","84894")</f>
        <v>84894</v>
      </c>
      <c r="F1869" s="3">
        <v>42177</v>
      </c>
      <c r="G1869" s="3">
        <v>42177</v>
      </c>
    </row>
    <row r="1870" spans="1:7" x14ac:dyDescent="0.3">
      <c r="A1870" s="1" t="s">
        <v>2388</v>
      </c>
      <c r="B1870" s="1" t="s">
        <v>2401</v>
      </c>
      <c r="C1870" s="1" t="s">
        <v>2393</v>
      </c>
      <c r="D1870" s="2" t="str">
        <f>HYPERLINK("https://inventaire.cncp.gouv.fr/fiches/350/","350")</f>
        <v>350</v>
      </c>
      <c r="E1870" s="2" t="str">
        <f>HYPERLINK("http://www.intercariforef.org/formations/certification-84901.html","84901")</f>
        <v>84901</v>
      </c>
      <c r="F1870" s="3">
        <v>42178</v>
      </c>
      <c r="G1870" s="3">
        <v>42178</v>
      </c>
    </row>
    <row r="1871" spans="1:7" x14ac:dyDescent="0.3">
      <c r="A1871" s="1" t="s">
        <v>2388</v>
      </c>
      <c r="B1871" s="1" t="s">
        <v>2402</v>
      </c>
      <c r="C1871" s="1" t="s">
        <v>2393</v>
      </c>
      <c r="D1871" s="2" t="str">
        <f>HYPERLINK("https://inventaire.cncp.gouv.fr/fiches/614/","614")</f>
        <v>614</v>
      </c>
      <c r="E1871" s="2" t="str">
        <f>HYPERLINK("http://www.intercariforef.org/formations/certification-84902.html","84902")</f>
        <v>84902</v>
      </c>
      <c r="F1871" s="3">
        <v>42178</v>
      </c>
      <c r="G1871" s="3">
        <v>42178</v>
      </c>
    </row>
    <row r="1872" spans="1:7" x14ac:dyDescent="0.3">
      <c r="A1872" s="1" t="s">
        <v>2388</v>
      </c>
      <c r="B1872" s="1" t="s">
        <v>2403</v>
      </c>
      <c r="C1872" s="1" t="s">
        <v>2393</v>
      </c>
      <c r="D1872" s="2" t="str">
        <f>HYPERLINK("https://inventaire.cncp.gouv.fr/fiches/678/","678")</f>
        <v>678</v>
      </c>
      <c r="E1872" s="2" t="str">
        <f>HYPERLINK("http://www.intercariforef.org/formations/certification-84903.html","84903")</f>
        <v>84903</v>
      </c>
      <c r="F1872" s="3">
        <v>42178</v>
      </c>
      <c r="G1872" s="3">
        <v>42178</v>
      </c>
    </row>
    <row r="1873" spans="1:7" x14ac:dyDescent="0.3">
      <c r="A1873" s="1" t="s">
        <v>2388</v>
      </c>
      <c r="B1873" s="1" t="s">
        <v>2404</v>
      </c>
      <c r="C1873" s="1" t="s">
        <v>2393</v>
      </c>
      <c r="D1873" s="2" t="str">
        <f>HYPERLINK("https://inventaire.cncp.gouv.fr/fiches/4025/","4025")</f>
        <v>4025</v>
      </c>
      <c r="E1873" s="2" t="str">
        <f>HYPERLINK("http://www.intercariforef.org/formations/certification-84481.html","84481")</f>
        <v>84481</v>
      </c>
      <c r="F1873" s="3">
        <v>42109</v>
      </c>
      <c r="G1873" s="3">
        <v>43349</v>
      </c>
    </row>
    <row r="1874" spans="1:7" x14ac:dyDescent="0.3">
      <c r="A1874" s="1" t="s">
        <v>2388</v>
      </c>
      <c r="B1874" s="1" t="s">
        <v>2405</v>
      </c>
      <c r="C1874" s="1" t="s">
        <v>2393</v>
      </c>
      <c r="D1874" s="2" t="str">
        <f>HYPERLINK("https://inventaire.cncp.gouv.fr/fiches/579/","579")</f>
        <v>579</v>
      </c>
      <c r="E1874" s="2" t="str">
        <f>HYPERLINK("http://www.intercariforef.org/formations/certification-84904.html","84904")</f>
        <v>84904</v>
      </c>
      <c r="F1874" s="3">
        <v>42178</v>
      </c>
      <c r="G1874" s="3">
        <v>42178</v>
      </c>
    </row>
    <row r="1875" spans="1:7" x14ac:dyDescent="0.3">
      <c r="A1875" s="1" t="s">
        <v>2388</v>
      </c>
      <c r="B1875" s="1" t="s">
        <v>2406</v>
      </c>
      <c r="C1875" s="1" t="s">
        <v>2393</v>
      </c>
      <c r="D1875" s="2" t="str">
        <f>HYPERLINK("https://inventaire.cncp.gouv.fr/fiches/616/","616")</f>
        <v>616</v>
      </c>
      <c r="E1875" s="2" t="str">
        <f>HYPERLINK("http://www.intercariforef.org/formations/certification-84931.html","84931")</f>
        <v>84931</v>
      </c>
      <c r="F1875" s="3">
        <v>42178</v>
      </c>
      <c r="G1875" s="3">
        <v>42178</v>
      </c>
    </row>
    <row r="1876" spans="1:7" x14ac:dyDescent="0.3">
      <c r="A1876" s="1" t="s">
        <v>2388</v>
      </c>
      <c r="B1876" s="1" t="s">
        <v>2407</v>
      </c>
      <c r="C1876" s="1" t="s">
        <v>2393</v>
      </c>
      <c r="D1876" s="2" t="str">
        <f>HYPERLINK("https://inventaire.cncp.gouv.fr/fiches/615/","615")</f>
        <v>615</v>
      </c>
      <c r="E1876" s="2" t="str">
        <f>HYPERLINK("http://www.intercariforef.org/formations/certification-84932.html","84932")</f>
        <v>84932</v>
      </c>
      <c r="F1876" s="3">
        <v>42178</v>
      </c>
      <c r="G1876" s="3">
        <v>42178</v>
      </c>
    </row>
    <row r="1877" spans="1:7" x14ac:dyDescent="0.3">
      <c r="A1877" s="1" t="s">
        <v>2388</v>
      </c>
      <c r="B1877" s="1" t="s">
        <v>2408</v>
      </c>
      <c r="C1877" s="1" t="s">
        <v>2409</v>
      </c>
      <c r="D1877" s="2" t="str">
        <f>HYPERLINK("https://inventaire.cncp.gouv.fr/fiches/574/","574")</f>
        <v>574</v>
      </c>
      <c r="E1877" s="2" t="str">
        <f>HYPERLINK("http://www.intercariforef.org/formations/certification-84936.html","84936")</f>
        <v>84936</v>
      </c>
      <c r="F1877" s="3">
        <v>42178</v>
      </c>
      <c r="G1877" s="3">
        <v>42178</v>
      </c>
    </row>
    <row r="1878" spans="1:7" x14ac:dyDescent="0.3">
      <c r="A1878" s="1" t="s">
        <v>2388</v>
      </c>
      <c r="B1878" s="1" t="s">
        <v>2410</v>
      </c>
      <c r="C1878" s="1" t="s">
        <v>2409</v>
      </c>
      <c r="D1878" s="2" t="str">
        <f>HYPERLINK("https://inventaire.cncp.gouv.fr/fiches/575/","575")</f>
        <v>575</v>
      </c>
      <c r="E1878" s="2" t="str">
        <f>HYPERLINK("http://www.intercariforef.org/formations/certification-84978.html","84978")</f>
        <v>84978</v>
      </c>
      <c r="F1878" s="3">
        <v>42178</v>
      </c>
      <c r="G1878" s="3">
        <v>42178</v>
      </c>
    </row>
    <row r="1879" spans="1:7" x14ac:dyDescent="0.3">
      <c r="A1879" s="1" t="s">
        <v>2388</v>
      </c>
      <c r="B1879" s="1" t="s">
        <v>2411</v>
      </c>
      <c r="C1879" s="1" t="s">
        <v>2409</v>
      </c>
      <c r="D1879" s="2" t="str">
        <f>HYPERLINK("https://inventaire.cncp.gouv.fr/fiches/395/","395")</f>
        <v>395</v>
      </c>
      <c r="E1879" s="2" t="str">
        <f>HYPERLINK("http://www.intercariforef.org/formations/certification-84938.html","84938")</f>
        <v>84938</v>
      </c>
      <c r="F1879" s="3">
        <v>42178</v>
      </c>
      <c r="G1879" s="3">
        <v>42718</v>
      </c>
    </row>
    <row r="1880" spans="1:7" x14ac:dyDescent="0.3">
      <c r="A1880" s="1" t="s">
        <v>2388</v>
      </c>
      <c r="B1880" s="1" t="s">
        <v>2412</v>
      </c>
      <c r="C1880" s="1" t="s">
        <v>2409</v>
      </c>
      <c r="D1880" s="2" t="str">
        <f>HYPERLINK("https://inventaire.cncp.gouv.fr/fiches/576/","576")</f>
        <v>576</v>
      </c>
      <c r="E1880" s="2" t="str">
        <f>HYPERLINK("http://www.intercariforef.org/formations/certification-84941.html","84941")</f>
        <v>84941</v>
      </c>
      <c r="F1880" s="3">
        <v>42178</v>
      </c>
      <c r="G1880" s="3">
        <v>42178</v>
      </c>
    </row>
    <row r="1881" spans="1:7" x14ac:dyDescent="0.3">
      <c r="A1881" s="1" t="s">
        <v>2388</v>
      </c>
      <c r="B1881" s="1" t="s">
        <v>2413</v>
      </c>
      <c r="C1881" s="1" t="s">
        <v>2409</v>
      </c>
      <c r="D1881" s="2" t="str">
        <f>HYPERLINK("https://inventaire.cncp.gouv.fr/fiches/397/","397")</f>
        <v>397</v>
      </c>
      <c r="E1881" s="2" t="str">
        <f>HYPERLINK("http://www.intercariforef.org/formations/certification-84942.html","84942")</f>
        <v>84942</v>
      </c>
      <c r="F1881" s="3">
        <v>42178</v>
      </c>
      <c r="G1881" s="3">
        <v>42718</v>
      </c>
    </row>
    <row r="1882" spans="1:7" x14ac:dyDescent="0.3">
      <c r="A1882" s="1" t="s">
        <v>2388</v>
      </c>
      <c r="B1882" s="1" t="s">
        <v>2414</v>
      </c>
      <c r="C1882" s="1" t="s">
        <v>1287</v>
      </c>
      <c r="D1882" s="2" t="str">
        <f>HYPERLINK("https://inventaire.cncp.gouv.fr/fiches/2717/","2717")</f>
        <v>2717</v>
      </c>
      <c r="E1882" s="2" t="str">
        <f>HYPERLINK("http://www.intercariforef.org/formations/certification-95449.html","95449")</f>
        <v>95449</v>
      </c>
      <c r="F1882" s="3">
        <v>42884</v>
      </c>
      <c r="G1882" s="3">
        <v>42884</v>
      </c>
    </row>
    <row r="1883" spans="1:7" x14ac:dyDescent="0.3">
      <c r="A1883" s="1" t="s">
        <v>2388</v>
      </c>
      <c r="B1883" s="1" t="s">
        <v>2415</v>
      </c>
      <c r="C1883" s="1" t="s">
        <v>2416</v>
      </c>
      <c r="D1883" s="2" t="str">
        <f>HYPERLINK("https://inventaire.cncp.gouv.fr/fiches/2870/","2870")</f>
        <v>2870</v>
      </c>
      <c r="E1883" s="2" t="str">
        <f>HYPERLINK("http://www.intercariforef.org/formations/certification-96559.html","96559")</f>
        <v>96559</v>
      </c>
      <c r="F1883" s="3">
        <v>42928</v>
      </c>
      <c r="G1883" s="3">
        <v>42928</v>
      </c>
    </row>
    <row r="1884" spans="1:7" x14ac:dyDescent="0.3">
      <c r="A1884" s="1" t="s">
        <v>2388</v>
      </c>
      <c r="B1884" s="1" t="s">
        <v>2417</v>
      </c>
      <c r="C1884" s="1" t="s">
        <v>2416</v>
      </c>
      <c r="D1884" s="2" t="str">
        <f>HYPERLINK("https://inventaire.cncp.gouv.fr/fiches/2871/","2871")</f>
        <v>2871</v>
      </c>
      <c r="E1884" s="2" t="str">
        <f>HYPERLINK("http://www.intercariforef.org/formations/certification-96557.html","96557")</f>
        <v>96557</v>
      </c>
      <c r="F1884" s="3">
        <v>42928</v>
      </c>
      <c r="G1884" s="3">
        <v>42928</v>
      </c>
    </row>
    <row r="1885" spans="1:7" x14ac:dyDescent="0.3">
      <c r="A1885" s="1" t="s">
        <v>2388</v>
      </c>
      <c r="B1885" s="1" t="s">
        <v>2418</v>
      </c>
      <c r="C1885" s="1" t="s">
        <v>2416</v>
      </c>
      <c r="D1885" s="2" t="str">
        <f>HYPERLINK("https://inventaire.cncp.gouv.fr/fiches/2873/","2873")</f>
        <v>2873</v>
      </c>
      <c r="E1885" s="2" t="str">
        <f>HYPERLINK("http://www.intercariforef.org/formations/certification-96555.html","96555")</f>
        <v>96555</v>
      </c>
      <c r="F1885" s="3">
        <v>42928</v>
      </c>
      <c r="G1885" s="3">
        <v>42928</v>
      </c>
    </row>
    <row r="1886" spans="1:7" x14ac:dyDescent="0.3">
      <c r="A1886" s="1" t="s">
        <v>2388</v>
      </c>
      <c r="B1886" s="1" t="s">
        <v>2419</v>
      </c>
      <c r="C1886" s="1" t="s">
        <v>602</v>
      </c>
      <c r="D1886" s="2" t="str">
        <f>HYPERLINK("https://inventaire.cncp.gouv.fr/fiches/1544/","1544")</f>
        <v>1544</v>
      </c>
      <c r="E1886" s="2" t="str">
        <f>HYPERLINK("http://www.intercariforef.org/formations/certification-87563.html","87563")</f>
        <v>87563</v>
      </c>
      <c r="F1886" s="3">
        <v>42412</v>
      </c>
      <c r="G1886" s="3">
        <v>42412</v>
      </c>
    </row>
    <row r="1887" spans="1:7" x14ac:dyDescent="0.3">
      <c r="A1887" s="1" t="s">
        <v>2388</v>
      </c>
      <c r="B1887" s="1" t="s">
        <v>2420</v>
      </c>
      <c r="C1887" s="1" t="s">
        <v>687</v>
      </c>
      <c r="D1887" s="2" t="str">
        <f>HYPERLINK("https://inventaire.cncp.gouv.fr/fiches/3489/","3489")</f>
        <v>3489</v>
      </c>
      <c r="E1887" s="2" t="str">
        <f>HYPERLINK("http://www.intercariforef.org/formations/certification-100653.html","100653")</f>
        <v>100653</v>
      </c>
      <c r="F1887" s="3">
        <v>43194</v>
      </c>
      <c r="G1887" s="3">
        <v>43194</v>
      </c>
    </row>
    <row r="1888" spans="1:7" x14ac:dyDescent="0.3">
      <c r="A1888" s="1" t="s">
        <v>2388</v>
      </c>
      <c r="B1888" s="1" t="s">
        <v>2421</v>
      </c>
      <c r="C1888" s="1" t="s">
        <v>2422</v>
      </c>
      <c r="D1888" s="2" t="str">
        <f>HYPERLINK("https://inventaire.cncp.gouv.fr/fiches/3635/","3635")</f>
        <v>3635</v>
      </c>
      <c r="E1888" s="2" t="str">
        <f>HYPERLINK("http://www.intercariforef.org/formations/certification-102521.html","102521")</f>
        <v>102521</v>
      </c>
      <c r="F1888" s="3">
        <v>43298</v>
      </c>
      <c r="G1888" s="3">
        <v>43298</v>
      </c>
    </row>
    <row r="1889" spans="1:7" x14ac:dyDescent="0.3">
      <c r="A1889" s="1" t="s">
        <v>2388</v>
      </c>
      <c r="B1889" s="1" t="s">
        <v>2423</v>
      </c>
      <c r="C1889" s="1" t="s">
        <v>687</v>
      </c>
      <c r="D1889" s="2" t="str">
        <f>HYPERLINK("https://inventaire.cncp.gouv.fr/fiches/3326/","3326")</f>
        <v>3326</v>
      </c>
      <c r="E1889" s="2" t="str">
        <f>HYPERLINK("http://www.intercariforef.org/formations/certification-100049.html","100049")</f>
        <v>100049</v>
      </c>
      <c r="F1889" s="3">
        <v>43152</v>
      </c>
      <c r="G1889" s="3">
        <v>43152</v>
      </c>
    </row>
    <row r="1890" spans="1:7" x14ac:dyDescent="0.3">
      <c r="A1890" s="1" t="s">
        <v>2388</v>
      </c>
      <c r="B1890" s="1" t="s">
        <v>2424</v>
      </c>
      <c r="C1890" s="1" t="s">
        <v>2425</v>
      </c>
      <c r="D1890" s="2" t="str">
        <f>HYPERLINK("https://inventaire.cncp.gouv.fr/fiches/1280/","1280")</f>
        <v>1280</v>
      </c>
      <c r="E1890" s="2" t="str">
        <f>HYPERLINK("http://www.intercariforef.org/formations/certification-87571.html","87571")</f>
        <v>87571</v>
      </c>
      <c r="F1890" s="3">
        <v>42412</v>
      </c>
      <c r="G1890" s="3">
        <v>42412</v>
      </c>
    </row>
    <row r="1891" spans="1:7" x14ac:dyDescent="0.3">
      <c r="A1891" s="1" t="s">
        <v>2388</v>
      </c>
      <c r="B1891" s="1" t="s">
        <v>2426</v>
      </c>
      <c r="C1891" s="1" t="s">
        <v>2425</v>
      </c>
      <c r="D1891" s="2" t="str">
        <f>HYPERLINK("https://inventaire.cncp.gouv.fr/fiches/1129/","1129")</f>
        <v>1129</v>
      </c>
      <c r="E1891" s="2" t="str">
        <f>HYPERLINK("http://www.intercariforef.org/formations/certification-87573.html","87573")</f>
        <v>87573</v>
      </c>
      <c r="F1891" s="3">
        <v>42412</v>
      </c>
      <c r="G1891" s="3">
        <v>42412</v>
      </c>
    </row>
    <row r="1892" spans="1:7" x14ac:dyDescent="0.3">
      <c r="A1892" s="1" t="s">
        <v>2388</v>
      </c>
      <c r="B1892" s="1" t="s">
        <v>2427</v>
      </c>
      <c r="C1892" s="1" t="s">
        <v>687</v>
      </c>
      <c r="D1892" s="2" t="str">
        <f>HYPERLINK("https://inventaire.cncp.gouv.fr/fiches/2437/","2437")</f>
        <v>2437</v>
      </c>
      <c r="E1892" s="2" t="str">
        <f>HYPERLINK("http://www.intercariforef.org/formations/certification-93821.html","93821")</f>
        <v>93821</v>
      </c>
      <c r="F1892" s="3">
        <v>42740</v>
      </c>
      <c r="G1892" s="3">
        <v>42740</v>
      </c>
    </row>
    <row r="1893" spans="1:7" x14ac:dyDescent="0.3">
      <c r="A1893" s="1" t="s">
        <v>2388</v>
      </c>
      <c r="B1893" s="1" t="s">
        <v>2428</v>
      </c>
      <c r="C1893" s="1" t="s">
        <v>920</v>
      </c>
      <c r="D1893" s="2" t="str">
        <f>HYPERLINK("https://inventaire.cncp.gouv.fr/fiches/2024/","2024")</f>
        <v>2024</v>
      </c>
      <c r="E1893" s="2" t="str">
        <f>HYPERLINK("http://www.intercariforef.org/formations/certification-90097.html","90097")</f>
        <v>90097</v>
      </c>
      <c r="F1893" s="3">
        <v>42562</v>
      </c>
      <c r="G1893" s="3">
        <v>42562</v>
      </c>
    </row>
    <row r="1894" spans="1:7" x14ac:dyDescent="0.3">
      <c r="A1894" s="1" t="s">
        <v>2388</v>
      </c>
      <c r="B1894" s="1" t="s">
        <v>2429</v>
      </c>
      <c r="C1894" s="1" t="s">
        <v>2430</v>
      </c>
      <c r="D1894" s="2" t="str">
        <f>HYPERLINK("https://inventaire.cncp.gouv.fr/fiches/2668/","2668")</f>
        <v>2668</v>
      </c>
      <c r="E1894" s="2" t="str">
        <f>HYPERLINK("http://www.intercariforef.org/formations/certification-94845.html","94845")</f>
        <v>94845</v>
      </c>
      <c r="F1894" s="3">
        <v>42836</v>
      </c>
      <c r="G1894" s="3">
        <v>42836</v>
      </c>
    </row>
    <row r="1895" spans="1:7" ht="26.2" x14ac:dyDescent="0.3">
      <c r="A1895" s="1" t="s">
        <v>2388</v>
      </c>
      <c r="B1895" s="1" t="s">
        <v>2431</v>
      </c>
      <c r="C1895" s="1" t="s">
        <v>2432</v>
      </c>
      <c r="D1895" s="2" t="str">
        <f>HYPERLINK("https://inventaire.cncp.gouv.fr/fiches/3733/","3733")</f>
        <v>3733</v>
      </c>
      <c r="E1895" s="2" t="str">
        <f>HYPERLINK("http://www.intercariforef.org/formations/certification-102463.html","102463")</f>
        <v>102463</v>
      </c>
      <c r="F1895" s="3">
        <v>43298</v>
      </c>
      <c r="G1895" s="3">
        <v>43298</v>
      </c>
    </row>
    <row r="1896" spans="1:7" x14ac:dyDescent="0.3">
      <c r="A1896" s="1" t="s">
        <v>2388</v>
      </c>
      <c r="B1896" s="1" t="s">
        <v>2433</v>
      </c>
      <c r="C1896" s="1" t="s">
        <v>2391</v>
      </c>
      <c r="D1896" s="2" t="str">
        <f>HYPERLINK("https://inventaire.cncp.gouv.fr/fiches/3263/","3263")</f>
        <v>3263</v>
      </c>
      <c r="E1896" s="2" t="str">
        <f>HYPERLINK("http://www.intercariforef.org/formations/certification-101201.html","101201")</f>
        <v>101201</v>
      </c>
      <c r="F1896" s="3">
        <v>43250</v>
      </c>
      <c r="G1896" s="3">
        <v>43250</v>
      </c>
    </row>
    <row r="1897" spans="1:7" ht="26.2" x14ac:dyDescent="0.3">
      <c r="A1897" s="1" t="s">
        <v>2434</v>
      </c>
      <c r="B1897" s="1" t="s">
        <v>2435</v>
      </c>
      <c r="C1897" s="1" t="s">
        <v>2436</v>
      </c>
      <c r="D1897" s="2" t="str">
        <f>HYPERLINK("https://inventaire.cncp.gouv.fr/fiches/2627/","2627")</f>
        <v>2627</v>
      </c>
      <c r="E1897" s="2" t="str">
        <f>HYPERLINK("http://www.intercariforef.org/formations/certification-101219.html","101219")</f>
        <v>101219</v>
      </c>
      <c r="F1897" s="3">
        <v>43251</v>
      </c>
      <c r="G1897" s="3">
        <v>43251</v>
      </c>
    </row>
    <row r="1898" spans="1:7" x14ac:dyDescent="0.3">
      <c r="A1898" s="1" t="s">
        <v>2434</v>
      </c>
      <c r="B1898" s="1" t="s">
        <v>2437</v>
      </c>
      <c r="C1898" s="1" t="s">
        <v>2438</v>
      </c>
      <c r="D1898" s="2" t="str">
        <f>HYPERLINK("https://inventaire.cncp.gouv.fr/fiches/1990/","1990")</f>
        <v>1990</v>
      </c>
      <c r="E1898" s="2" t="str">
        <f>HYPERLINK("http://www.intercariforef.org/formations/certification-90147.html","90147")</f>
        <v>90147</v>
      </c>
      <c r="F1898" s="3">
        <v>42562</v>
      </c>
      <c r="G1898" s="3">
        <v>42562</v>
      </c>
    </row>
    <row r="1899" spans="1:7" x14ac:dyDescent="0.3">
      <c r="A1899" s="1" t="s">
        <v>2439</v>
      </c>
      <c r="B1899" s="1" t="s">
        <v>2440</v>
      </c>
      <c r="C1899" s="1" t="s">
        <v>40</v>
      </c>
      <c r="D1899" s="2" t="str">
        <f>HYPERLINK("https://inventaire.cncp.gouv.fr/fiches/852/","852")</f>
        <v>852</v>
      </c>
      <c r="E1899" s="2" t="str">
        <f>HYPERLINK("http://www.intercariforef.org/formations/certification-85035.html","85035")</f>
        <v>85035</v>
      </c>
      <c r="F1899" s="3">
        <v>42185</v>
      </c>
      <c r="G1899" s="3">
        <v>42979</v>
      </c>
    </row>
    <row r="1900" spans="1:7" x14ac:dyDescent="0.3">
      <c r="A1900" s="1" t="s">
        <v>2439</v>
      </c>
      <c r="B1900" s="1" t="s">
        <v>2441</v>
      </c>
      <c r="C1900" s="1" t="s">
        <v>70</v>
      </c>
      <c r="D1900" s="2" t="str">
        <f>HYPERLINK("https://inventaire.cncp.gouv.fr/fiches/2179/","2179")</f>
        <v>2179</v>
      </c>
      <c r="E1900" s="2" t="str">
        <f>HYPERLINK("http://www.intercariforef.org/formations/certification-84177.html","84177")</f>
        <v>84177</v>
      </c>
      <c r="F1900" s="3">
        <v>42058</v>
      </c>
      <c r="G1900" s="3">
        <v>43111</v>
      </c>
    </row>
    <row r="1901" spans="1:7" x14ac:dyDescent="0.3">
      <c r="A1901" s="1" t="s">
        <v>2439</v>
      </c>
      <c r="B1901" s="1" t="s">
        <v>2442</v>
      </c>
      <c r="C1901" s="1" t="s">
        <v>70</v>
      </c>
      <c r="D1901" s="2" t="str">
        <f>HYPERLINK("https://inventaire.cncp.gouv.fr/fiches/1079/","1079")</f>
        <v>1079</v>
      </c>
      <c r="E1901" s="2" t="str">
        <f>HYPERLINK("http://www.intercariforef.org/formations/certification-85544.html","85544")</f>
        <v>85544</v>
      </c>
      <c r="F1901" s="3">
        <v>42269</v>
      </c>
      <c r="G1901" s="3">
        <v>43111</v>
      </c>
    </row>
    <row r="1902" spans="1:7" x14ac:dyDescent="0.3">
      <c r="A1902" s="1" t="s">
        <v>2439</v>
      </c>
      <c r="B1902" s="1" t="s">
        <v>2443</v>
      </c>
      <c r="C1902" s="1" t="s">
        <v>70</v>
      </c>
      <c r="D1902" s="2" t="str">
        <f>HYPERLINK("https://inventaire.cncp.gouv.fr/fiches/1080/","1080")</f>
        <v>1080</v>
      </c>
      <c r="E1902" s="2" t="str">
        <f>HYPERLINK("http://www.intercariforef.org/formations/certification-85547.html","85547")</f>
        <v>85547</v>
      </c>
      <c r="F1902" s="3">
        <v>42269</v>
      </c>
      <c r="G1902" s="3">
        <v>43111</v>
      </c>
    </row>
    <row r="1903" spans="1:7" ht="26.2" x14ac:dyDescent="0.3">
      <c r="A1903" s="1" t="s">
        <v>2439</v>
      </c>
      <c r="B1903" s="1" t="s">
        <v>2444</v>
      </c>
      <c r="C1903" s="1" t="s">
        <v>70</v>
      </c>
      <c r="D1903" s="2" t="str">
        <f>HYPERLINK("https://inventaire.cncp.gouv.fr/fiches/1083/","1083")</f>
        <v>1083</v>
      </c>
      <c r="E1903" s="2" t="str">
        <f>HYPERLINK("http://www.intercariforef.org/formations/certification-85552.html","85552")</f>
        <v>85552</v>
      </c>
      <c r="F1903" s="3">
        <v>42269</v>
      </c>
      <c r="G1903" s="3">
        <v>43111</v>
      </c>
    </row>
    <row r="1904" spans="1:7" ht="26.2" x14ac:dyDescent="0.3">
      <c r="A1904" s="1" t="s">
        <v>2439</v>
      </c>
      <c r="B1904" s="1" t="s">
        <v>2445</v>
      </c>
      <c r="C1904" s="1" t="s">
        <v>70</v>
      </c>
      <c r="D1904" s="2" t="str">
        <f>HYPERLINK("https://inventaire.cncp.gouv.fr/fiches/1081/","1081")</f>
        <v>1081</v>
      </c>
      <c r="E1904" s="2" t="str">
        <f>HYPERLINK("http://www.intercariforef.org/formations/certification-85549.html","85549")</f>
        <v>85549</v>
      </c>
      <c r="F1904" s="3">
        <v>42269</v>
      </c>
      <c r="G1904" s="3">
        <v>43111</v>
      </c>
    </row>
    <row r="1905" spans="1:7" ht="26.2" x14ac:dyDescent="0.3">
      <c r="A1905" s="1" t="s">
        <v>2439</v>
      </c>
      <c r="B1905" s="1" t="s">
        <v>2446</v>
      </c>
      <c r="C1905" s="1" t="s">
        <v>70</v>
      </c>
      <c r="D1905" s="2" t="str">
        <f>HYPERLINK("https://inventaire.cncp.gouv.fr/fiches/1082/","1082")</f>
        <v>1082</v>
      </c>
      <c r="E1905" s="2" t="str">
        <f>HYPERLINK("http://www.intercariforef.org/formations/certification-85550.html","85550")</f>
        <v>85550</v>
      </c>
      <c r="F1905" s="3">
        <v>42269</v>
      </c>
      <c r="G1905" s="3">
        <v>43111</v>
      </c>
    </row>
    <row r="1906" spans="1:7" ht="26.2" x14ac:dyDescent="0.3">
      <c r="A1906" s="1" t="s">
        <v>2439</v>
      </c>
      <c r="B1906" s="1" t="s">
        <v>2447</v>
      </c>
      <c r="C1906" s="1" t="s">
        <v>70</v>
      </c>
      <c r="D1906" s="2" t="str">
        <f>HYPERLINK("https://inventaire.cncp.gouv.fr/fiches/1087/","1087")</f>
        <v>1087</v>
      </c>
      <c r="E1906" s="2" t="str">
        <f>HYPERLINK("http://www.intercariforef.org/formations/certification-85554.html","85554")</f>
        <v>85554</v>
      </c>
      <c r="F1906" s="3">
        <v>42269</v>
      </c>
      <c r="G1906" s="3">
        <v>43111</v>
      </c>
    </row>
    <row r="1907" spans="1:7" ht="26.2" x14ac:dyDescent="0.3">
      <c r="A1907" s="1" t="s">
        <v>2439</v>
      </c>
      <c r="B1907" s="1" t="s">
        <v>2448</v>
      </c>
      <c r="C1907" s="1" t="s">
        <v>70</v>
      </c>
      <c r="D1907" s="2" t="str">
        <f>HYPERLINK("https://inventaire.cncp.gouv.fr/fiches/1086/","1086")</f>
        <v>1086</v>
      </c>
      <c r="E1907" s="2" t="str">
        <f>HYPERLINK("http://www.intercariforef.org/formations/certification-85555.html","85555")</f>
        <v>85555</v>
      </c>
      <c r="F1907" s="3">
        <v>42269</v>
      </c>
      <c r="G1907" s="3">
        <v>43111</v>
      </c>
    </row>
    <row r="1908" spans="1:7" ht="26.2" x14ac:dyDescent="0.3">
      <c r="A1908" s="1" t="s">
        <v>2439</v>
      </c>
      <c r="B1908" s="1" t="s">
        <v>2449</v>
      </c>
      <c r="C1908" s="1" t="s">
        <v>70</v>
      </c>
      <c r="D1908" s="2" t="str">
        <f>HYPERLINK("https://inventaire.cncp.gouv.fr/fiches/1084/","1084")</f>
        <v>1084</v>
      </c>
      <c r="E1908" s="2" t="str">
        <f>HYPERLINK("http://www.intercariforef.org/formations/certification-85558.html","85558")</f>
        <v>85558</v>
      </c>
      <c r="F1908" s="3">
        <v>42269</v>
      </c>
      <c r="G1908" s="3">
        <v>43111</v>
      </c>
    </row>
    <row r="1909" spans="1:7" ht="26.2" x14ac:dyDescent="0.3">
      <c r="A1909" s="1" t="s">
        <v>2439</v>
      </c>
      <c r="B1909" s="1" t="s">
        <v>2450</v>
      </c>
      <c r="C1909" s="1" t="s">
        <v>70</v>
      </c>
      <c r="D1909" s="2" t="str">
        <f>HYPERLINK("https://inventaire.cncp.gouv.fr/fiches/1085/","1085")</f>
        <v>1085</v>
      </c>
      <c r="E1909" s="2" t="str">
        <f>HYPERLINK("http://www.intercariforef.org/formations/certification-85561.html","85561")</f>
        <v>85561</v>
      </c>
      <c r="F1909" s="3">
        <v>42269</v>
      </c>
      <c r="G1909" s="3">
        <v>43111</v>
      </c>
    </row>
    <row r="1910" spans="1:7" ht="26.2" x14ac:dyDescent="0.3">
      <c r="A1910" s="1" t="s">
        <v>2439</v>
      </c>
      <c r="B1910" s="1" t="s">
        <v>2451</v>
      </c>
      <c r="C1910" s="1" t="s">
        <v>70</v>
      </c>
      <c r="D1910" s="2" t="str">
        <f>HYPERLINK("https://inventaire.cncp.gouv.fr/fiches/1088/","1088")</f>
        <v>1088</v>
      </c>
      <c r="E1910" s="2" t="str">
        <f>HYPERLINK("http://www.intercariforef.org/formations/certification-85564.html","85564")</f>
        <v>85564</v>
      </c>
      <c r="F1910" s="3">
        <v>42269</v>
      </c>
      <c r="G1910" s="3">
        <v>43111</v>
      </c>
    </row>
    <row r="1911" spans="1:7" ht="26.2" x14ac:dyDescent="0.3">
      <c r="A1911" s="1" t="s">
        <v>2439</v>
      </c>
      <c r="B1911" s="1" t="s">
        <v>2452</v>
      </c>
      <c r="C1911" s="1" t="s">
        <v>70</v>
      </c>
      <c r="D1911" s="2" t="str">
        <f>HYPERLINK("https://inventaire.cncp.gouv.fr/fiches/1089/","1089")</f>
        <v>1089</v>
      </c>
      <c r="E1911" s="2" t="str">
        <f>HYPERLINK("http://www.intercariforef.org/formations/certification-85562.html","85562")</f>
        <v>85562</v>
      </c>
      <c r="F1911" s="3">
        <v>42269</v>
      </c>
      <c r="G1911" s="3">
        <v>43111</v>
      </c>
    </row>
    <row r="1912" spans="1:7" x14ac:dyDescent="0.3">
      <c r="A1912" s="1" t="s">
        <v>2439</v>
      </c>
      <c r="B1912" s="1" t="s">
        <v>2453</v>
      </c>
      <c r="C1912" s="1" t="s">
        <v>70</v>
      </c>
      <c r="D1912" s="2" t="str">
        <f>HYPERLINK("https://inventaire.cncp.gouv.fr/fiches/1353/","1353")</f>
        <v>1353</v>
      </c>
      <c r="E1912" s="2" t="str">
        <f>HYPERLINK("http://www.intercariforef.org/formations/certification-74714.html","74714")</f>
        <v>74714</v>
      </c>
      <c r="F1912" s="3">
        <v>40654</v>
      </c>
      <c r="G1912" s="3">
        <v>43111</v>
      </c>
    </row>
    <row r="1913" spans="1:7" x14ac:dyDescent="0.3">
      <c r="A1913" s="1" t="s">
        <v>2439</v>
      </c>
      <c r="B1913" s="1" t="s">
        <v>2454</v>
      </c>
      <c r="C1913" s="1" t="s">
        <v>2007</v>
      </c>
      <c r="D1913" s="2" t="str">
        <f>HYPERLINK("https://inventaire.cncp.gouv.fr/fiches/648/","648")</f>
        <v>648</v>
      </c>
      <c r="E1913" s="2" t="str">
        <f>HYPERLINK("http://www.intercariforef.org/formations/certification-59970.html","59970")</f>
        <v>59970</v>
      </c>
      <c r="F1913" s="3">
        <v>39716</v>
      </c>
      <c r="G1913" s="3">
        <v>43111</v>
      </c>
    </row>
    <row r="1914" spans="1:7" x14ac:dyDescent="0.3">
      <c r="A1914" s="1" t="s">
        <v>2439</v>
      </c>
      <c r="B1914" s="1" t="s">
        <v>2455</v>
      </c>
      <c r="C1914" s="1" t="s">
        <v>70</v>
      </c>
      <c r="D1914" s="2" t="str">
        <f>HYPERLINK("https://inventaire.cncp.gouv.fr/fiches/1462/","1462")</f>
        <v>1462</v>
      </c>
      <c r="E1914" s="2" t="str">
        <f>HYPERLINK("http://www.intercariforef.org/formations/certification-86404.html","86404")</f>
        <v>86404</v>
      </c>
      <c r="F1914" s="3">
        <v>42340</v>
      </c>
      <c r="G1914" s="3">
        <v>43111</v>
      </c>
    </row>
    <row r="1915" spans="1:7" x14ac:dyDescent="0.3">
      <c r="A1915" s="1" t="s">
        <v>2439</v>
      </c>
      <c r="B1915" s="1" t="s">
        <v>2456</v>
      </c>
      <c r="C1915" s="1" t="s">
        <v>2457</v>
      </c>
      <c r="D1915" s="2" t="str">
        <f>HYPERLINK("https://inventaire.cncp.gouv.fr/fiches/2942/","2942")</f>
        <v>2942</v>
      </c>
      <c r="E1915" s="2" t="str">
        <f>HYPERLINK("http://www.intercariforef.org/formations/certification-99269.html","99269")</f>
        <v>99269</v>
      </c>
      <c r="F1915" s="3">
        <v>43083</v>
      </c>
      <c r="G1915" s="3">
        <v>43083</v>
      </c>
    </row>
    <row r="1916" spans="1:7" x14ac:dyDescent="0.3">
      <c r="A1916" s="1" t="s">
        <v>2439</v>
      </c>
      <c r="B1916" s="1" t="s">
        <v>2458</v>
      </c>
      <c r="C1916" s="1" t="s">
        <v>2457</v>
      </c>
      <c r="D1916" s="2" t="str">
        <f>HYPERLINK("https://inventaire.cncp.gouv.fr/fiches/2941/","2941")</f>
        <v>2941</v>
      </c>
      <c r="E1916" s="2" t="str">
        <f>HYPERLINK("http://www.intercariforef.org/formations/certification-99271.html","99271")</f>
        <v>99271</v>
      </c>
      <c r="F1916" s="3">
        <v>43083</v>
      </c>
      <c r="G1916" s="3">
        <v>43083</v>
      </c>
    </row>
    <row r="1917" spans="1:7" x14ac:dyDescent="0.3">
      <c r="A1917" s="1" t="s">
        <v>2439</v>
      </c>
      <c r="B1917" s="1" t="s">
        <v>2459</v>
      </c>
      <c r="C1917" s="1" t="s">
        <v>2457</v>
      </c>
      <c r="D1917" s="2" t="str">
        <f>HYPERLINK("https://inventaire.cncp.gouv.fr/fiches/2940/","2940")</f>
        <v>2940</v>
      </c>
      <c r="E1917" s="2" t="str">
        <f>HYPERLINK("http://www.intercariforef.org/formations/certification-99273.html","99273")</f>
        <v>99273</v>
      </c>
      <c r="F1917" s="3">
        <v>43083</v>
      </c>
      <c r="G1917" s="3">
        <v>43083</v>
      </c>
    </row>
    <row r="1918" spans="1:7" x14ac:dyDescent="0.3">
      <c r="A1918" s="1" t="s">
        <v>2439</v>
      </c>
      <c r="B1918" s="1" t="s">
        <v>2460</v>
      </c>
      <c r="C1918" s="1" t="s">
        <v>70</v>
      </c>
      <c r="D1918" s="2" t="str">
        <f>HYPERLINK("https://inventaire.cncp.gouv.fr/fiches/1198/","1198")</f>
        <v>1198</v>
      </c>
      <c r="E1918" s="2" t="str">
        <f>HYPERLINK("http://www.intercariforef.org/formations/certification-85625.html","85625")</f>
        <v>85625</v>
      </c>
      <c r="F1918" s="3">
        <v>42269</v>
      </c>
      <c r="G1918" s="3">
        <v>43111</v>
      </c>
    </row>
    <row r="1919" spans="1:7" x14ac:dyDescent="0.3">
      <c r="A1919" s="1" t="s">
        <v>2439</v>
      </c>
      <c r="B1919" s="1" t="s">
        <v>2461</v>
      </c>
      <c r="C1919" s="1" t="s">
        <v>2462</v>
      </c>
      <c r="D1919" s="2" t="str">
        <f>HYPERLINK("https://inventaire.cncp.gouv.fr/fiches/1881/","1881")</f>
        <v>1881</v>
      </c>
      <c r="E1919" s="2" t="str">
        <f>HYPERLINK("http://www.intercariforef.org/formations/certification-89259.html","89259")</f>
        <v>89259</v>
      </c>
      <c r="F1919" s="3">
        <v>42522</v>
      </c>
      <c r="G1919" s="3">
        <v>43111</v>
      </c>
    </row>
    <row r="1920" spans="1:7" x14ac:dyDescent="0.3">
      <c r="A1920" s="1" t="s">
        <v>2439</v>
      </c>
      <c r="B1920" s="1" t="s">
        <v>2463</v>
      </c>
      <c r="C1920" s="1" t="s">
        <v>2464</v>
      </c>
      <c r="D1920" s="2" t="str">
        <f>HYPERLINK("https://inventaire.cncp.gouv.fr/fiches/1203/","1203")</f>
        <v>1203</v>
      </c>
      <c r="E1920" s="2" t="str">
        <f>HYPERLINK("http://www.intercariforef.org/formations/certification-76874.html","76874")</f>
        <v>76874</v>
      </c>
      <c r="F1920" s="3">
        <v>40912</v>
      </c>
      <c r="G1920" s="3">
        <v>42416</v>
      </c>
    </row>
    <row r="1921" spans="1:7" x14ac:dyDescent="0.3">
      <c r="A1921" s="1" t="s">
        <v>2439</v>
      </c>
      <c r="B1921" s="1" t="s">
        <v>2465</v>
      </c>
      <c r="C1921" s="1" t="s">
        <v>2464</v>
      </c>
      <c r="D1921" s="2" t="str">
        <f>HYPERLINK("https://inventaire.cncp.gouv.fr/fiches/1246/","1246")</f>
        <v>1246</v>
      </c>
      <c r="E1921" s="2" t="str">
        <f>HYPERLINK("http://www.intercariforef.org/formations/certification-55534.html","55534")</f>
        <v>55534</v>
      </c>
      <c r="F1921" s="3">
        <v>38443</v>
      </c>
      <c r="G1921" s="3">
        <v>42416</v>
      </c>
    </row>
    <row r="1922" spans="1:7" x14ac:dyDescent="0.3">
      <c r="A1922" s="1" t="s">
        <v>2439</v>
      </c>
      <c r="B1922" s="1" t="s">
        <v>2466</v>
      </c>
      <c r="C1922" s="1" t="s">
        <v>2464</v>
      </c>
      <c r="D1922" s="2" t="str">
        <f>HYPERLINK("https://inventaire.cncp.gouv.fr/fiches/1247/","1247")</f>
        <v>1247</v>
      </c>
      <c r="E1922" s="2" t="str">
        <f>HYPERLINK("http://www.intercariforef.org/formations/certification-55535.html","55535")</f>
        <v>55535</v>
      </c>
      <c r="F1922" s="3">
        <v>38443</v>
      </c>
      <c r="G1922" s="3">
        <v>42416</v>
      </c>
    </row>
    <row r="1923" spans="1:7" ht="26.2" x14ac:dyDescent="0.3">
      <c r="A1923" s="1" t="s">
        <v>2439</v>
      </c>
      <c r="B1923" s="1" t="s">
        <v>2467</v>
      </c>
      <c r="C1923" s="1" t="s">
        <v>2464</v>
      </c>
      <c r="D1923" s="2" t="str">
        <f>HYPERLINK("https://inventaire.cncp.gouv.fr/fiches/1204/","1204")</f>
        <v>1204</v>
      </c>
      <c r="E1923" s="2" t="str">
        <f>HYPERLINK("http://www.intercariforef.org/formations/certification-76873.html","76873")</f>
        <v>76873</v>
      </c>
      <c r="F1923" s="3">
        <v>40912</v>
      </c>
      <c r="G1923" s="3">
        <v>42416</v>
      </c>
    </row>
    <row r="1924" spans="1:7" ht="26.2" x14ac:dyDescent="0.3">
      <c r="A1924" s="1" t="s">
        <v>2439</v>
      </c>
      <c r="B1924" s="1" t="s">
        <v>2468</v>
      </c>
      <c r="C1924" s="1" t="s">
        <v>2464</v>
      </c>
      <c r="D1924" s="2" t="str">
        <f>HYPERLINK("https://inventaire.cncp.gouv.fr/fiches/1253/","1253")</f>
        <v>1253</v>
      </c>
      <c r="E1924" s="2" t="str">
        <f>HYPERLINK("http://www.intercariforef.org/formations/certification-55528.html","55528")</f>
        <v>55528</v>
      </c>
      <c r="F1924" s="3">
        <v>38443</v>
      </c>
      <c r="G1924" s="3">
        <v>42416</v>
      </c>
    </row>
    <row r="1925" spans="1:7" x14ac:dyDescent="0.3">
      <c r="A1925" s="1" t="s">
        <v>2439</v>
      </c>
      <c r="B1925" s="1" t="s">
        <v>2469</v>
      </c>
      <c r="C1925" s="1" t="s">
        <v>70</v>
      </c>
      <c r="D1925" s="2" t="str">
        <f>HYPERLINK("https://inventaire.cncp.gouv.fr/fiches/753/","753")</f>
        <v>753</v>
      </c>
      <c r="E1925" s="2" t="str">
        <f>HYPERLINK("http://www.intercariforef.org/formations/certification-84732.html","84732")</f>
        <v>84732</v>
      </c>
      <c r="F1925" s="3">
        <v>42156</v>
      </c>
      <c r="G1925" s="3">
        <v>43111</v>
      </c>
    </row>
    <row r="1926" spans="1:7" x14ac:dyDescent="0.3">
      <c r="A1926" s="1" t="s">
        <v>2439</v>
      </c>
      <c r="B1926" s="1" t="s">
        <v>2470</v>
      </c>
      <c r="C1926" s="1" t="s">
        <v>70</v>
      </c>
      <c r="D1926" s="2" t="str">
        <f>HYPERLINK("https://inventaire.cncp.gouv.fr/fiches/766/","766")</f>
        <v>766</v>
      </c>
      <c r="E1926" s="2" t="str">
        <f>HYPERLINK("http://www.intercariforef.org/formations/certification-84733.html","84733")</f>
        <v>84733</v>
      </c>
      <c r="F1926" s="3">
        <v>42156</v>
      </c>
      <c r="G1926" s="3">
        <v>43111</v>
      </c>
    </row>
    <row r="1927" spans="1:7" x14ac:dyDescent="0.3">
      <c r="A1927" s="1" t="s">
        <v>2439</v>
      </c>
      <c r="B1927" s="1" t="s">
        <v>2471</v>
      </c>
      <c r="C1927" s="1" t="s">
        <v>779</v>
      </c>
      <c r="D1927" s="4" t="s">
        <v>536</v>
      </c>
      <c r="E1927" s="2" t="str">
        <f>HYPERLINK("http://www.intercariforef.org/formations/certification-84418.html","84418")</f>
        <v>84418</v>
      </c>
      <c r="F1927" s="3">
        <v>42109</v>
      </c>
      <c r="G1927" s="3">
        <v>42979</v>
      </c>
    </row>
    <row r="1928" spans="1:7" ht="26.2" x14ac:dyDescent="0.3">
      <c r="A1928" s="1" t="s">
        <v>2439</v>
      </c>
      <c r="B1928" s="1" t="s">
        <v>2472</v>
      </c>
      <c r="C1928" s="1" t="s">
        <v>779</v>
      </c>
      <c r="D1928" s="2" t="str">
        <f>HYPERLINK("https://inventaire.cncp.gouv.fr/fiches/729/","729")</f>
        <v>729</v>
      </c>
      <c r="E1928" s="2" t="str">
        <f>HYPERLINK("http://www.intercariforef.org/formations/certification-84383.html","84383")</f>
        <v>84383</v>
      </c>
      <c r="F1928" s="3">
        <v>42109</v>
      </c>
      <c r="G1928" s="3">
        <v>42979</v>
      </c>
    </row>
    <row r="1929" spans="1:7" ht="26.2" x14ac:dyDescent="0.3">
      <c r="A1929" s="1" t="s">
        <v>2439</v>
      </c>
      <c r="B1929" s="1" t="s">
        <v>2473</v>
      </c>
      <c r="C1929" s="1" t="s">
        <v>779</v>
      </c>
      <c r="D1929" s="2" t="str">
        <f>HYPERLINK("https://inventaire.cncp.gouv.fr/fiches/728/","728")</f>
        <v>728</v>
      </c>
      <c r="E1929" s="2" t="str">
        <f>HYPERLINK("http://www.intercariforef.org/formations/certification-84387.html","84387")</f>
        <v>84387</v>
      </c>
      <c r="F1929" s="3">
        <v>42109</v>
      </c>
      <c r="G1929" s="3">
        <v>42979</v>
      </c>
    </row>
    <row r="1930" spans="1:7" x14ac:dyDescent="0.3">
      <c r="A1930" s="1" t="s">
        <v>2439</v>
      </c>
      <c r="B1930" s="1" t="s">
        <v>2474</v>
      </c>
      <c r="C1930" s="1" t="s">
        <v>779</v>
      </c>
      <c r="D1930" s="2" t="str">
        <f>HYPERLINK("https://inventaire.cncp.gouv.fr/fiches/722/","722")</f>
        <v>722</v>
      </c>
      <c r="E1930" s="2" t="str">
        <f>HYPERLINK("http://www.intercariforef.org/formations/certification-84391.html","84391")</f>
        <v>84391</v>
      </c>
      <c r="F1930" s="3">
        <v>42109</v>
      </c>
      <c r="G1930" s="3">
        <v>42486</v>
      </c>
    </row>
    <row r="1931" spans="1:7" x14ac:dyDescent="0.3">
      <c r="A1931" s="1" t="s">
        <v>2439</v>
      </c>
      <c r="B1931" s="1" t="s">
        <v>2475</v>
      </c>
      <c r="C1931" s="1" t="s">
        <v>779</v>
      </c>
      <c r="D1931" s="2" t="str">
        <f>HYPERLINK("https://inventaire.cncp.gouv.fr/fiches/808/","808")</f>
        <v>808</v>
      </c>
      <c r="E1931" s="2" t="str">
        <f>HYPERLINK("http://www.intercariforef.org/formations/certification-66316.html","66316")</f>
        <v>66316</v>
      </c>
      <c r="F1931" s="3">
        <v>40260</v>
      </c>
      <c r="G1931" s="3">
        <v>42486</v>
      </c>
    </row>
    <row r="1932" spans="1:7" x14ac:dyDescent="0.3">
      <c r="A1932" s="1" t="s">
        <v>2439</v>
      </c>
      <c r="B1932" s="1" t="s">
        <v>2476</v>
      </c>
      <c r="C1932" s="1" t="s">
        <v>779</v>
      </c>
      <c r="D1932" s="2" t="str">
        <f>HYPERLINK("https://inventaire.cncp.gouv.fr/fiches/731/","731")</f>
        <v>731</v>
      </c>
      <c r="E1932" s="2" t="str">
        <f>HYPERLINK("http://www.intercariforef.org/formations/certification-84389.html","84389")</f>
        <v>84389</v>
      </c>
      <c r="F1932" s="3">
        <v>42109</v>
      </c>
      <c r="G1932" s="3">
        <v>42979</v>
      </c>
    </row>
    <row r="1933" spans="1:7" ht="26.2" x14ac:dyDescent="0.3">
      <c r="A1933" s="1" t="s">
        <v>2439</v>
      </c>
      <c r="B1933" s="1" t="s">
        <v>2477</v>
      </c>
      <c r="C1933" s="1" t="s">
        <v>779</v>
      </c>
      <c r="D1933" s="2" t="str">
        <f>HYPERLINK("https://inventaire.cncp.gouv.fr/fiches/724/","724")</f>
        <v>724</v>
      </c>
      <c r="E1933" s="2" t="str">
        <f>HYPERLINK("http://www.intercariforef.org/formations/certification-84392.html","84392")</f>
        <v>84392</v>
      </c>
      <c r="F1933" s="3">
        <v>42109</v>
      </c>
      <c r="G1933" s="3">
        <v>42979</v>
      </c>
    </row>
    <row r="1934" spans="1:7" ht="26.2" x14ac:dyDescent="0.3">
      <c r="A1934" s="1" t="s">
        <v>2439</v>
      </c>
      <c r="B1934" s="1" t="s">
        <v>2478</v>
      </c>
      <c r="C1934" s="1" t="s">
        <v>779</v>
      </c>
      <c r="D1934" s="2" t="str">
        <f>HYPERLINK("https://inventaire.cncp.gouv.fr/fiches/726/","726")</f>
        <v>726</v>
      </c>
      <c r="E1934" s="2" t="str">
        <f>HYPERLINK("http://www.intercariforef.org/formations/certification-84397.html","84397")</f>
        <v>84397</v>
      </c>
      <c r="F1934" s="3">
        <v>42109</v>
      </c>
      <c r="G1934" s="3">
        <v>42979</v>
      </c>
    </row>
    <row r="1935" spans="1:7" x14ac:dyDescent="0.3">
      <c r="A1935" s="1" t="s">
        <v>2439</v>
      </c>
      <c r="B1935" s="1" t="s">
        <v>2479</v>
      </c>
      <c r="C1935" s="1" t="s">
        <v>779</v>
      </c>
      <c r="D1935" s="2" t="str">
        <f>HYPERLINK("https://inventaire.cncp.gouv.fr/fiches/809/","809")</f>
        <v>809</v>
      </c>
      <c r="E1935" s="2" t="str">
        <f>HYPERLINK("http://www.intercariforef.org/formations/certification-66315.html","66315")</f>
        <v>66315</v>
      </c>
      <c r="F1935" s="3">
        <v>40260</v>
      </c>
      <c r="G1935" s="3">
        <v>42486</v>
      </c>
    </row>
    <row r="1936" spans="1:7" x14ac:dyDescent="0.3">
      <c r="A1936" s="1" t="s">
        <v>2439</v>
      </c>
      <c r="B1936" s="1" t="s">
        <v>2480</v>
      </c>
      <c r="C1936" s="1" t="s">
        <v>779</v>
      </c>
      <c r="D1936" s="4" t="s">
        <v>536</v>
      </c>
      <c r="E1936" s="2" t="str">
        <f>HYPERLINK("http://www.intercariforef.org/formations/certification-84424.html","84424")</f>
        <v>84424</v>
      </c>
      <c r="F1936" s="3">
        <v>42109</v>
      </c>
      <c r="G1936" s="3">
        <v>42979</v>
      </c>
    </row>
    <row r="1937" spans="1:7" x14ac:dyDescent="0.3">
      <c r="A1937" s="1" t="s">
        <v>2439</v>
      </c>
      <c r="B1937" s="1" t="s">
        <v>2481</v>
      </c>
      <c r="C1937" s="1" t="s">
        <v>70</v>
      </c>
      <c r="D1937" s="2" t="str">
        <f>HYPERLINK("https://inventaire.cncp.gouv.fr/fiches/1882/","1882")</f>
        <v>1882</v>
      </c>
      <c r="E1937" s="2" t="str">
        <f>HYPERLINK("http://www.intercariforef.org/formations/certification-89261.html","89261")</f>
        <v>89261</v>
      </c>
      <c r="F1937" s="3">
        <v>42522</v>
      </c>
      <c r="G1937" s="3">
        <v>43143</v>
      </c>
    </row>
    <row r="1938" spans="1:7" x14ac:dyDescent="0.3">
      <c r="A1938" s="1" t="s">
        <v>2439</v>
      </c>
      <c r="B1938" s="1" t="s">
        <v>2482</v>
      </c>
      <c r="C1938" s="1" t="s">
        <v>70</v>
      </c>
      <c r="D1938" s="2" t="str">
        <f>HYPERLINK("https://inventaire.cncp.gouv.fr/fiches/1886/","1886")</f>
        <v>1886</v>
      </c>
      <c r="E1938" s="2" t="str">
        <f>HYPERLINK("http://www.intercariforef.org/formations/certification-88809.html","88809")</f>
        <v>88809</v>
      </c>
      <c r="F1938" s="3">
        <v>42499</v>
      </c>
      <c r="G1938" s="3">
        <v>43111</v>
      </c>
    </row>
    <row r="1939" spans="1:7" x14ac:dyDescent="0.3">
      <c r="A1939" s="1" t="s">
        <v>2439</v>
      </c>
      <c r="B1939" s="1" t="s">
        <v>2483</v>
      </c>
      <c r="C1939" s="1" t="s">
        <v>2484</v>
      </c>
      <c r="D1939" s="2" t="str">
        <f>HYPERLINK("https://inventaire.cncp.gouv.fr/fiches/2013/","2013")</f>
        <v>2013</v>
      </c>
      <c r="E1939" s="2" t="str">
        <f>HYPERLINK("http://www.intercariforef.org/formations/certification-65960.html","65960")</f>
        <v>65960</v>
      </c>
      <c r="F1939" s="3">
        <v>40225</v>
      </c>
      <c r="G1939" s="3">
        <v>42515</v>
      </c>
    </row>
    <row r="1940" spans="1:7" x14ac:dyDescent="0.3">
      <c r="A1940" s="1" t="s">
        <v>2439</v>
      </c>
      <c r="B1940" s="1" t="s">
        <v>2485</v>
      </c>
      <c r="C1940" s="1" t="s">
        <v>2486</v>
      </c>
      <c r="D1940" s="2" t="str">
        <f>HYPERLINK("https://inventaire.cncp.gouv.fr/fiches/1201/","1201")</f>
        <v>1201</v>
      </c>
      <c r="E1940" s="2" t="str">
        <f>HYPERLINK("http://www.intercariforef.org/formations/certification-85570.html","85570")</f>
        <v>85570</v>
      </c>
      <c r="F1940" s="3">
        <v>42269</v>
      </c>
      <c r="G1940" s="3">
        <v>42269</v>
      </c>
    </row>
    <row r="1941" spans="1:7" x14ac:dyDescent="0.3">
      <c r="A1941" s="1" t="s">
        <v>2439</v>
      </c>
      <c r="B1941" s="1" t="s">
        <v>2487</v>
      </c>
      <c r="C1941" s="1" t="s">
        <v>2488</v>
      </c>
      <c r="D1941" s="2" t="str">
        <f>HYPERLINK("https://inventaire.cncp.gouv.fr/fiches/1922/","1922")</f>
        <v>1922</v>
      </c>
      <c r="E1941" s="2" t="str">
        <f>HYPERLINK("http://www.intercariforef.org/formations/certification-90229.html","90229")</f>
        <v>90229</v>
      </c>
      <c r="F1941" s="3">
        <v>42563</v>
      </c>
      <c r="G1941" s="3">
        <v>42563</v>
      </c>
    </row>
    <row r="1942" spans="1:7" x14ac:dyDescent="0.3">
      <c r="A1942" s="1" t="s">
        <v>2439</v>
      </c>
      <c r="B1942" s="1" t="s">
        <v>2489</v>
      </c>
      <c r="C1942" s="1" t="s">
        <v>70</v>
      </c>
      <c r="D1942" s="2" t="str">
        <f>HYPERLINK("https://inventaire.cncp.gouv.fr/fiches/328/","328")</f>
        <v>328</v>
      </c>
      <c r="E1942" s="2" t="str">
        <f>HYPERLINK("http://www.intercariforef.org/formations/certification-84701.html","84701")</f>
        <v>84701</v>
      </c>
      <c r="F1942" s="3">
        <v>42156</v>
      </c>
      <c r="G1942" s="3">
        <v>43111</v>
      </c>
    </row>
    <row r="1943" spans="1:7" ht="26.2" x14ac:dyDescent="0.3">
      <c r="A1943" s="1" t="s">
        <v>2439</v>
      </c>
      <c r="B1943" s="1" t="s">
        <v>2490</v>
      </c>
      <c r="C1943" s="1" t="s">
        <v>1741</v>
      </c>
      <c r="D1943" s="2" t="str">
        <f>HYPERLINK("https://inventaire.cncp.gouv.fr/fiches/2641/","2641")</f>
        <v>2641</v>
      </c>
      <c r="E1943" s="2" t="str">
        <f>HYPERLINK("http://www.intercariforef.org/formations/certification-95267.html","95267")</f>
        <v>95267</v>
      </c>
      <c r="F1943" s="3">
        <v>42851</v>
      </c>
      <c r="G1943" s="3">
        <v>42851</v>
      </c>
    </row>
    <row r="1944" spans="1:7" ht="26.2" x14ac:dyDescent="0.3">
      <c r="A1944" s="1" t="s">
        <v>2439</v>
      </c>
      <c r="B1944" s="1" t="s">
        <v>2491</v>
      </c>
      <c r="C1944" s="1" t="s">
        <v>1741</v>
      </c>
      <c r="D1944" s="2" t="str">
        <f>HYPERLINK("https://inventaire.cncp.gouv.fr/fiches/2645/","2645")</f>
        <v>2645</v>
      </c>
      <c r="E1944" s="2" t="str">
        <f>HYPERLINK("http://www.intercariforef.org/formations/certification-95265.html","95265")</f>
        <v>95265</v>
      </c>
      <c r="F1944" s="3">
        <v>42851</v>
      </c>
      <c r="G1944" s="3">
        <v>42851</v>
      </c>
    </row>
    <row r="1945" spans="1:7" x14ac:dyDescent="0.3">
      <c r="A1945" s="1" t="s">
        <v>2439</v>
      </c>
      <c r="B1945" s="1" t="s">
        <v>2492</v>
      </c>
      <c r="C1945" s="1" t="s">
        <v>779</v>
      </c>
      <c r="D1945" s="2" t="str">
        <f>HYPERLINK("https://inventaire.cncp.gouv.fr/fiches/804/","804")</f>
        <v>804</v>
      </c>
      <c r="E1945" s="2" t="str">
        <f>HYPERLINK("http://www.intercariforef.org/formations/certification-66281.html","66281")</f>
        <v>66281</v>
      </c>
      <c r="F1945" s="3">
        <v>40246</v>
      </c>
      <c r="G1945" s="3">
        <v>42486</v>
      </c>
    </row>
    <row r="1946" spans="1:7" x14ac:dyDescent="0.3">
      <c r="A1946" s="1" t="s">
        <v>2439</v>
      </c>
      <c r="B1946" s="1" t="s">
        <v>2493</v>
      </c>
      <c r="C1946" s="1" t="s">
        <v>70</v>
      </c>
      <c r="D1946" s="2" t="str">
        <f>HYPERLINK("https://inventaire.cncp.gouv.fr/fiches/778/","778")</f>
        <v>778</v>
      </c>
      <c r="E1946" s="2" t="str">
        <f>HYPERLINK("http://www.intercariforef.org/formations/certification-84738.html","84738")</f>
        <v>84738</v>
      </c>
      <c r="F1946" s="3">
        <v>42156</v>
      </c>
      <c r="G1946" s="3">
        <v>43111</v>
      </c>
    </row>
    <row r="1947" spans="1:7" x14ac:dyDescent="0.3">
      <c r="A1947" s="1" t="s">
        <v>2439</v>
      </c>
      <c r="B1947" s="1" t="s">
        <v>2494</v>
      </c>
      <c r="C1947" s="1" t="s">
        <v>2495</v>
      </c>
      <c r="D1947" s="2" t="str">
        <f>HYPERLINK("https://inventaire.cncp.gouv.fr/fiches/582/","582")</f>
        <v>582</v>
      </c>
      <c r="E1947" s="2" t="str">
        <f>HYPERLINK("http://www.intercariforef.org/formations/certification-69537.html","69537")</f>
        <v>69537</v>
      </c>
      <c r="F1947" s="3">
        <v>40360</v>
      </c>
      <c r="G1947" s="3">
        <v>43111</v>
      </c>
    </row>
    <row r="1948" spans="1:7" x14ac:dyDescent="0.3">
      <c r="A1948" s="1" t="s">
        <v>2439</v>
      </c>
      <c r="B1948" s="1" t="s">
        <v>2496</v>
      </c>
      <c r="C1948" s="1" t="s">
        <v>70</v>
      </c>
      <c r="D1948" s="2" t="str">
        <f>HYPERLINK("https://inventaire.cncp.gouv.fr/fiches/1883/","1883")</f>
        <v>1883</v>
      </c>
      <c r="E1948" s="2" t="str">
        <f>HYPERLINK("http://www.intercariforef.org/formations/certification-88833.html","88833")</f>
        <v>88833</v>
      </c>
      <c r="F1948" s="3">
        <v>42500</v>
      </c>
      <c r="G1948" s="3">
        <v>43111</v>
      </c>
    </row>
    <row r="1949" spans="1:7" x14ac:dyDescent="0.3">
      <c r="A1949" s="1" t="s">
        <v>2439</v>
      </c>
      <c r="B1949" s="1" t="s">
        <v>2497</v>
      </c>
      <c r="C1949" s="1" t="s">
        <v>70</v>
      </c>
      <c r="D1949" s="2" t="str">
        <f>HYPERLINK("https://inventaire.cncp.gouv.fr/fiches/1884/","1884")</f>
        <v>1884</v>
      </c>
      <c r="E1949" s="2" t="str">
        <f>HYPERLINK("http://www.intercariforef.org/formations/certification-88835.html","88835")</f>
        <v>88835</v>
      </c>
      <c r="F1949" s="3">
        <v>42500</v>
      </c>
      <c r="G1949" s="3">
        <v>43111</v>
      </c>
    </row>
    <row r="1950" spans="1:7" x14ac:dyDescent="0.3">
      <c r="A1950" s="1" t="s">
        <v>2439</v>
      </c>
      <c r="B1950" s="1" t="s">
        <v>2498</v>
      </c>
      <c r="C1950" s="1" t="s">
        <v>70</v>
      </c>
      <c r="D1950" s="2" t="str">
        <f>HYPERLINK("https://inventaire.cncp.gouv.fr/fiches/1885/","1885")</f>
        <v>1885</v>
      </c>
      <c r="E1950" s="2" t="str">
        <f>HYPERLINK("http://www.intercariforef.org/formations/certification-88837.html","88837")</f>
        <v>88837</v>
      </c>
      <c r="F1950" s="3">
        <v>42500</v>
      </c>
      <c r="G1950" s="3">
        <v>43111</v>
      </c>
    </row>
    <row r="1951" spans="1:7" x14ac:dyDescent="0.3">
      <c r="A1951" s="1" t="s">
        <v>2439</v>
      </c>
      <c r="B1951" s="1" t="s">
        <v>2499</v>
      </c>
      <c r="C1951" s="1" t="s">
        <v>70</v>
      </c>
      <c r="D1951" s="2" t="str">
        <f>HYPERLINK("https://inventaire.cncp.gouv.fr/fiches/431/","431")</f>
        <v>431</v>
      </c>
      <c r="E1951" s="2" t="str">
        <f>HYPERLINK("http://www.intercariforef.org/formations/certification-84737.html","84737")</f>
        <v>84737</v>
      </c>
      <c r="F1951" s="3">
        <v>42156</v>
      </c>
      <c r="G1951" s="3">
        <v>43111</v>
      </c>
    </row>
    <row r="1952" spans="1:7" x14ac:dyDescent="0.3">
      <c r="A1952" s="1" t="s">
        <v>2439</v>
      </c>
      <c r="B1952" s="1" t="s">
        <v>2500</v>
      </c>
      <c r="C1952" s="1" t="s">
        <v>70</v>
      </c>
      <c r="D1952" s="2" t="str">
        <f>HYPERLINK("https://inventaire.cncp.gouv.fr/fiches/429/","429")</f>
        <v>429</v>
      </c>
      <c r="E1952" s="2" t="str">
        <f>HYPERLINK("http://www.intercariforef.org/formations/certification-84736.html","84736")</f>
        <v>84736</v>
      </c>
      <c r="F1952" s="3">
        <v>42156</v>
      </c>
      <c r="G1952" s="3">
        <v>43111</v>
      </c>
    </row>
    <row r="1953" spans="1:7" x14ac:dyDescent="0.3">
      <c r="A1953" s="1" t="s">
        <v>2439</v>
      </c>
      <c r="B1953" s="1" t="s">
        <v>2501</v>
      </c>
      <c r="C1953" s="1" t="s">
        <v>79</v>
      </c>
      <c r="D1953" s="2" t="str">
        <f>HYPERLINK("https://inventaire.cncp.gouv.fr/fiches/1532/","1532")</f>
        <v>1532</v>
      </c>
      <c r="E1953" s="2" t="str">
        <f>HYPERLINK("http://www.intercariforef.org/formations/certification-86402.html","86402")</f>
        <v>86402</v>
      </c>
      <c r="F1953" s="3">
        <v>42340</v>
      </c>
      <c r="G1953" s="3">
        <v>43111</v>
      </c>
    </row>
    <row r="1954" spans="1:7" ht="26.2" x14ac:dyDescent="0.3">
      <c r="A1954" s="1" t="s">
        <v>2439</v>
      </c>
      <c r="B1954" s="1" t="s">
        <v>2502</v>
      </c>
      <c r="C1954" s="1" t="s">
        <v>779</v>
      </c>
      <c r="D1954" s="2" t="str">
        <f>HYPERLINK("https://inventaire.cncp.gouv.fr/fiches/792/","792")</f>
        <v>792</v>
      </c>
      <c r="E1954" s="2" t="str">
        <f>HYPERLINK("http://www.intercariforef.org/formations/certification-66314.html","66314")</f>
        <v>66314</v>
      </c>
      <c r="F1954" s="3">
        <v>40260</v>
      </c>
      <c r="G1954" s="3">
        <v>42486</v>
      </c>
    </row>
    <row r="1955" spans="1:7" ht="26.2" x14ac:dyDescent="0.3">
      <c r="A1955" s="1" t="s">
        <v>2439</v>
      </c>
      <c r="B1955" s="1" t="s">
        <v>2503</v>
      </c>
      <c r="C1955" s="1" t="s">
        <v>779</v>
      </c>
      <c r="D1955" s="2" t="str">
        <f>HYPERLINK("https://inventaire.cncp.gouv.fr/fiches/791/","791")</f>
        <v>791</v>
      </c>
      <c r="E1955" s="2" t="str">
        <f>HYPERLINK("http://www.intercariforef.org/formations/certification-66313.html","66313")</f>
        <v>66313</v>
      </c>
      <c r="F1955" s="3">
        <v>40260</v>
      </c>
      <c r="G1955" s="3">
        <v>42486</v>
      </c>
    </row>
    <row r="1956" spans="1:7" x14ac:dyDescent="0.3">
      <c r="A1956" s="1" t="s">
        <v>2439</v>
      </c>
      <c r="B1956" s="1" t="s">
        <v>2504</v>
      </c>
      <c r="C1956" s="1" t="s">
        <v>779</v>
      </c>
      <c r="D1956" s="2" t="str">
        <f>HYPERLINK("https://inventaire.cncp.gouv.fr/fiches/790/","790")</f>
        <v>790</v>
      </c>
      <c r="E1956" s="2" t="str">
        <f>HYPERLINK("http://www.intercariforef.org/formations/certification-66312.html","66312")</f>
        <v>66312</v>
      </c>
      <c r="F1956" s="3">
        <v>40260</v>
      </c>
      <c r="G1956" s="3">
        <v>42486</v>
      </c>
    </row>
    <row r="1957" spans="1:7" x14ac:dyDescent="0.3">
      <c r="A1957" s="1" t="s">
        <v>2439</v>
      </c>
      <c r="B1957" s="1" t="s">
        <v>2505</v>
      </c>
      <c r="C1957" s="1" t="s">
        <v>2506</v>
      </c>
      <c r="D1957" s="2" t="str">
        <f>HYPERLINK("https://inventaire.cncp.gouv.fr/fiches/3358/","3358")</f>
        <v>3358</v>
      </c>
      <c r="E1957" s="2" t="str">
        <f>HYPERLINK("http://www.intercariforef.org/formations/certification-100731.html","100731")</f>
        <v>100731</v>
      </c>
      <c r="F1957" s="3">
        <v>43200</v>
      </c>
      <c r="G1957" s="3">
        <v>43200</v>
      </c>
    </row>
    <row r="1958" spans="1:7" x14ac:dyDescent="0.3">
      <c r="A1958" s="1" t="s">
        <v>2439</v>
      </c>
      <c r="B1958" s="1" t="s">
        <v>2507</v>
      </c>
      <c r="C1958" s="1" t="s">
        <v>2508</v>
      </c>
      <c r="D1958" s="2" t="str">
        <f>HYPERLINK("https://inventaire.cncp.gouv.fr/fiches/2712/","2712")</f>
        <v>2712</v>
      </c>
      <c r="E1958" s="2" t="str">
        <f>HYPERLINK("http://www.intercariforef.org/formations/certification-94111.html","94111")</f>
        <v>94111</v>
      </c>
      <c r="F1958" s="3">
        <v>42766</v>
      </c>
      <c r="G1958" s="3">
        <v>43111</v>
      </c>
    </row>
    <row r="1959" spans="1:7" x14ac:dyDescent="0.3">
      <c r="A1959" s="1" t="s">
        <v>2439</v>
      </c>
      <c r="B1959" s="1" t="s">
        <v>2509</v>
      </c>
      <c r="C1959" s="1" t="s">
        <v>70</v>
      </c>
      <c r="D1959" s="2" t="str">
        <f>HYPERLINK("https://inventaire.cncp.gouv.fr/fiches/466/","466")</f>
        <v>466</v>
      </c>
      <c r="E1959" s="2" t="str">
        <f>HYPERLINK("http://www.intercariforef.org/formations/certification-66258.html","66258")</f>
        <v>66258</v>
      </c>
      <c r="F1959" s="3">
        <v>40246</v>
      </c>
      <c r="G1959" s="3">
        <v>43111</v>
      </c>
    </row>
    <row r="1960" spans="1:7" ht="26.2" x14ac:dyDescent="0.3">
      <c r="A1960" s="1" t="s">
        <v>2439</v>
      </c>
      <c r="B1960" s="1" t="s">
        <v>2510</v>
      </c>
      <c r="C1960" s="1" t="s">
        <v>779</v>
      </c>
      <c r="D1960" s="2" t="str">
        <f>HYPERLINK("https://inventaire.cncp.gouv.fr/fiches/789/","789")</f>
        <v>789</v>
      </c>
      <c r="E1960" s="2" t="str">
        <f>HYPERLINK("http://www.intercariforef.org/formations/certification-66283.html","66283")</f>
        <v>66283</v>
      </c>
      <c r="F1960" s="3">
        <v>40246</v>
      </c>
      <c r="G1960" s="3">
        <v>42486</v>
      </c>
    </row>
    <row r="1961" spans="1:7" ht="26.2" x14ac:dyDescent="0.3">
      <c r="A1961" s="1" t="s">
        <v>2439</v>
      </c>
      <c r="B1961" s="1" t="s">
        <v>2511</v>
      </c>
      <c r="C1961" s="1" t="s">
        <v>779</v>
      </c>
      <c r="D1961" s="2" t="str">
        <f>HYPERLINK("https://inventaire.cncp.gouv.fr/fiches/786/","786")</f>
        <v>786</v>
      </c>
      <c r="E1961" s="2" t="str">
        <f>HYPERLINK("http://www.intercariforef.org/formations/certification-81513.html","81513")</f>
        <v>81513</v>
      </c>
      <c r="F1961" s="3">
        <v>41514</v>
      </c>
      <c r="G1961" s="3">
        <v>42486</v>
      </c>
    </row>
    <row r="1962" spans="1:7" x14ac:dyDescent="0.3">
      <c r="A1962" s="1" t="s">
        <v>2439</v>
      </c>
      <c r="B1962" s="1" t="s">
        <v>2512</v>
      </c>
      <c r="C1962" s="1" t="s">
        <v>2506</v>
      </c>
      <c r="D1962" s="2" t="str">
        <f>HYPERLINK("https://inventaire.cncp.gouv.fr/fiches/3357/","3357")</f>
        <v>3357</v>
      </c>
      <c r="E1962" s="2" t="str">
        <f>HYPERLINK("http://www.intercariforef.org/formations/certification-100729.html","100729")</f>
        <v>100729</v>
      </c>
      <c r="F1962" s="3">
        <v>43200</v>
      </c>
      <c r="G1962" s="3">
        <v>43200</v>
      </c>
    </row>
    <row r="1963" spans="1:7" x14ac:dyDescent="0.3">
      <c r="A1963" s="1" t="s">
        <v>2439</v>
      </c>
      <c r="B1963" s="1" t="s">
        <v>2513</v>
      </c>
      <c r="C1963" s="1" t="s">
        <v>2508</v>
      </c>
      <c r="D1963" s="2" t="str">
        <f>HYPERLINK("https://inventaire.cncp.gouv.fr/fiches/2711/","2711")</f>
        <v>2711</v>
      </c>
      <c r="E1963" s="2" t="str">
        <f>HYPERLINK("http://www.intercariforef.org/formations/certification-94109.html","94109")</f>
        <v>94109</v>
      </c>
      <c r="F1963" s="3">
        <v>42766</v>
      </c>
      <c r="G1963" s="3">
        <v>43111</v>
      </c>
    </row>
    <row r="1964" spans="1:7" x14ac:dyDescent="0.3">
      <c r="A1964" s="1" t="s">
        <v>2439</v>
      </c>
      <c r="B1964" s="1" t="s">
        <v>2514</v>
      </c>
      <c r="C1964" s="1" t="s">
        <v>70</v>
      </c>
      <c r="D1964" s="2" t="str">
        <f>HYPERLINK("https://inventaire.cncp.gouv.fr/fiches/493/","493")</f>
        <v>493</v>
      </c>
      <c r="E1964" s="2" t="str">
        <f>HYPERLINK("http://www.intercariforef.org/formations/certification-84437.html","84437")</f>
        <v>84437</v>
      </c>
      <c r="F1964" s="3">
        <v>42109</v>
      </c>
      <c r="G1964" s="3">
        <v>43111</v>
      </c>
    </row>
    <row r="1965" spans="1:7" x14ac:dyDescent="0.3">
      <c r="A1965" s="1" t="s">
        <v>2439</v>
      </c>
      <c r="B1965" s="1" t="s">
        <v>2515</v>
      </c>
      <c r="C1965" s="1" t="s">
        <v>779</v>
      </c>
      <c r="D1965" s="4" t="s">
        <v>536</v>
      </c>
      <c r="E1965" s="2" t="str">
        <f>HYPERLINK("http://www.intercariforef.org/formations/certification-84422.html","84422")</f>
        <v>84422</v>
      </c>
      <c r="F1965" s="3">
        <v>42109</v>
      </c>
      <c r="G1965" s="3">
        <v>42979</v>
      </c>
    </row>
    <row r="1966" spans="1:7" x14ac:dyDescent="0.3">
      <c r="A1966" s="1" t="s">
        <v>2439</v>
      </c>
      <c r="B1966" s="1" t="s">
        <v>2516</v>
      </c>
      <c r="C1966" s="1" t="s">
        <v>779</v>
      </c>
      <c r="D1966" s="2" t="str">
        <f>HYPERLINK("https://inventaire.cncp.gouv.fr/fiches/747/","747")</f>
        <v>747</v>
      </c>
      <c r="E1966" s="2" t="str">
        <f>HYPERLINK("http://www.intercariforef.org/formations/certification-66311.html","66311")</f>
        <v>66311</v>
      </c>
      <c r="F1966" s="3">
        <v>40260</v>
      </c>
      <c r="G1966" s="3">
        <v>42486</v>
      </c>
    </row>
    <row r="1967" spans="1:7" x14ac:dyDescent="0.3">
      <c r="A1967" s="1" t="s">
        <v>2439</v>
      </c>
      <c r="B1967" s="1" t="s">
        <v>2517</v>
      </c>
      <c r="C1967" s="1" t="s">
        <v>70</v>
      </c>
      <c r="D1967" s="2" t="str">
        <f>HYPERLINK("https://inventaire.cncp.gouv.fr/fiches/481/","481")</f>
        <v>481</v>
      </c>
      <c r="E1967" s="2" t="str">
        <f>HYPERLINK("http://www.intercariforef.org/formations/certification-84433.html","84433")</f>
        <v>84433</v>
      </c>
      <c r="F1967" s="3">
        <v>42109</v>
      </c>
      <c r="G1967" s="3">
        <v>43111</v>
      </c>
    </row>
    <row r="1968" spans="1:7" x14ac:dyDescent="0.3">
      <c r="A1968" s="1" t="s">
        <v>2439</v>
      </c>
      <c r="B1968" s="1" t="s">
        <v>2518</v>
      </c>
      <c r="C1968" s="1" t="s">
        <v>779</v>
      </c>
      <c r="D1968" s="2" t="str">
        <f>HYPERLINK("https://inventaire.cncp.gouv.fr/fiches/923/","923")</f>
        <v>923</v>
      </c>
      <c r="E1968" s="2" t="str">
        <f>HYPERLINK("http://www.intercariforef.org/formations/certification-66232.html","66232")</f>
        <v>66232</v>
      </c>
      <c r="F1968" s="3">
        <v>40241</v>
      </c>
      <c r="G1968" s="3">
        <v>42254</v>
      </c>
    </row>
    <row r="1969" spans="1:7" x14ac:dyDescent="0.3">
      <c r="A1969" s="1" t="s">
        <v>2439</v>
      </c>
      <c r="B1969" s="1" t="s">
        <v>2519</v>
      </c>
      <c r="C1969" s="1" t="s">
        <v>779</v>
      </c>
      <c r="D1969" s="2" t="str">
        <f>HYPERLINK("https://inventaire.cncp.gouv.fr/fiches/746/","746")</f>
        <v>746</v>
      </c>
      <c r="E1969" s="2" t="str">
        <f>HYPERLINK("http://www.intercariforef.org/formations/certification-66309.html","66309")</f>
        <v>66309</v>
      </c>
      <c r="F1969" s="3">
        <v>40260</v>
      </c>
      <c r="G1969" s="3">
        <v>42486</v>
      </c>
    </row>
    <row r="1970" spans="1:7" x14ac:dyDescent="0.3">
      <c r="A1970" s="1" t="s">
        <v>2439</v>
      </c>
      <c r="B1970" s="1" t="s">
        <v>2520</v>
      </c>
      <c r="C1970" s="1" t="s">
        <v>779</v>
      </c>
      <c r="D1970" s="4" t="s">
        <v>536</v>
      </c>
      <c r="E1970" s="2" t="str">
        <f>HYPERLINK("http://www.intercariforef.org/formations/certification-84444.html","84444")</f>
        <v>84444</v>
      </c>
      <c r="F1970" s="3">
        <v>42109</v>
      </c>
      <c r="G1970" s="3">
        <v>42979</v>
      </c>
    </row>
    <row r="1971" spans="1:7" x14ac:dyDescent="0.3">
      <c r="A1971" s="1" t="s">
        <v>2439</v>
      </c>
      <c r="B1971" s="1" t="s">
        <v>2521</v>
      </c>
      <c r="C1971" s="1" t="s">
        <v>779</v>
      </c>
      <c r="D1971" s="2" t="str">
        <f>HYPERLINK("https://inventaire.cncp.gouv.fr/fiches/742/","742")</f>
        <v>742</v>
      </c>
      <c r="E1971" s="2" t="str">
        <f>HYPERLINK("http://www.intercariforef.org/formations/certification-66308.html","66308")</f>
        <v>66308</v>
      </c>
      <c r="F1971" s="3">
        <v>40260</v>
      </c>
      <c r="G1971" s="3">
        <v>42486</v>
      </c>
    </row>
    <row r="1972" spans="1:7" x14ac:dyDescent="0.3">
      <c r="A1972" s="1" t="s">
        <v>2439</v>
      </c>
      <c r="B1972" s="1" t="s">
        <v>2522</v>
      </c>
      <c r="C1972" s="1" t="s">
        <v>779</v>
      </c>
      <c r="D1972" s="4" t="s">
        <v>536</v>
      </c>
      <c r="E1972" s="2" t="str">
        <f>HYPERLINK("http://www.intercariforef.org/formations/certification-66310.html","66310")</f>
        <v>66310</v>
      </c>
      <c r="F1972" s="3">
        <v>40260</v>
      </c>
      <c r="G1972" s="3">
        <v>42188</v>
      </c>
    </row>
    <row r="1973" spans="1:7" ht="26.2" x14ac:dyDescent="0.3">
      <c r="A1973" s="1" t="s">
        <v>2439</v>
      </c>
      <c r="B1973" s="1" t="s">
        <v>2523</v>
      </c>
      <c r="C1973" s="1" t="s">
        <v>830</v>
      </c>
      <c r="D1973" s="2" t="str">
        <f>HYPERLINK("https://inventaire.cncp.gouv.fr/fiches/2299/","2299")</f>
        <v>2299</v>
      </c>
      <c r="E1973" s="2" t="str">
        <f>HYPERLINK("http://www.intercariforef.org/formations/certification-93773.html","93773")</f>
        <v>93773</v>
      </c>
      <c r="F1973" s="3">
        <v>42725</v>
      </c>
      <c r="G1973" s="3">
        <v>42725</v>
      </c>
    </row>
    <row r="1974" spans="1:7" x14ac:dyDescent="0.3">
      <c r="A1974" s="1" t="s">
        <v>2439</v>
      </c>
      <c r="B1974" s="1" t="s">
        <v>2524</v>
      </c>
      <c r="C1974" s="1" t="s">
        <v>2525</v>
      </c>
      <c r="D1974" s="2" t="str">
        <f>HYPERLINK("https://inventaire.cncp.gouv.fr/fiches/2485/","2485")</f>
        <v>2485</v>
      </c>
      <c r="E1974" s="2" t="str">
        <f>HYPERLINK("http://www.intercariforef.org/formations/certification-93759.html","93759")</f>
        <v>93759</v>
      </c>
      <c r="F1974" s="3">
        <v>42725</v>
      </c>
      <c r="G1974" s="3">
        <v>42725</v>
      </c>
    </row>
    <row r="1975" spans="1:7" x14ac:dyDescent="0.3">
      <c r="A1975" s="1" t="s">
        <v>2439</v>
      </c>
      <c r="B1975" s="1" t="s">
        <v>2526</v>
      </c>
      <c r="C1975" s="1" t="s">
        <v>2007</v>
      </c>
      <c r="D1975" s="2" t="str">
        <f>HYPERLINK("https://inventaire.cncp.gouv.fr/fiches/1101/","1101")</f>
        <v>1101</v>
      </c>
      <c r="E1975" s="2" t="str">
        <f>HYPERLINK("http://www.intercariforef.org/formations/certification-85643.html","85643")</f>
        <v>85643</v>
      </c>
      <c r="F1975" s="3">
        <v>42270</v>
      </c>
      <c r="G1975" s="3">
        <v>43111</v>
      </c>
    </row>
    <row r="1976" spans="1:7" ht="26.2" x14ac:dyDescent="0.3">
      <c r="A1976" s="1" t="s">
        <v>2439</v>
      </c>
      <c r="B1976" s="1" t="s">
        <v>2527</v>
      </c>
      <c r="C1976" s="1" t="s">
        <v>2464</v>
      </c>
      <c r="D1976" s="2" t="str">
        <f>HYPERLINK("https://inventaire.cncp.gouv.fr/fiches/1457/","1457")</f>
        <v>1457</v>
      </c>
      <c r="E1976" s="2" t="str">
        <f>HYPERLINK("http://www.intercariforef.org/formations/certification-86407.html","86407")</f>
        <v>86407</v>
      </c>
      <c r="F1976" s="3">
        <v>42340</v>
      </c>
      <c r="G1976" s="3">
        <v>42979</v>
      </c>
    </row>
    <row r="1977" spans="1:7" x14ac:dyDescent="0.3">
      <c r="A1977" s="1" t="s">
        <v>2439</v>
      </c>
      <c r="B1977" s="1" t="s">
        <v>2528</v>
      </c>
      <c r="C1977" s="1" t="s">
        <v>2486</v>
      </c>
      <c r="D1977" s="2" t="str">
        <f>HYPERLINK("https://inventaire.cncp.gouv.fr/fiches/1202/","1202")</f>
        <v>1202</v>
      </c>
      <c r="E1977" s="2" t="str">
        <f>HYPERLINK("http://www.intercariforef.org/formations/certification-85569.html","85569")</f>
        <v>85569</v>
      </c>
      <c r="F1977" s="3">
        <v>42269</v>
      </c>
      <c r="G1977" s="3">
        <v>42269</v>
      </c>
    </row>
    <row r="1978" spans="1:7" x14ac:dyDescent="0.3">
      <c r="A1978" s="1" t="s">
        <v>2439</v>
      </c>
      <c r="B1978" s="1" t="s">
        <v>2529</v>
      </c>
      <c r="C1978" s="1" t="s">
        <v>40</v>
      </c>
      <c r="D1978" s="2" t="str">
        <f>HYPERLINK("https://inventaire.cncp.gouv.fr/fiches/64/","64")</f>
        <v>64</v>
      </c>
      <c r="E1978" s="2" t="str">
        <f>HYPERLINK("http://www.intercariforef.org/formations/certification-84511.html","84511")</f>
        <v>84511</v>
      </c>
      <c r="F1978" s="3">
        <v>42114</v>
      </c>
      <c r="G1978" s="3">
        <v>42979</v>
      </c>
    </row>
    <row r="1979" spans="1:7" x14ac:dyDescent="0.3">
      <c r="A1979" s="1" t="s">
        <v>2439</v>
      </c>
      <c r="B1979" s="1" t="s">
        <v>2530</v>
      </c>
      <c r="C1979" s="1" t="s">
        <v>2486</v>
      </c>
      <c r="D1979" s="2" t="str">
        <f>HYPERLINK("https://inventaire.cncp.gouv.fr/fiches/1211/","1211")</f>
        <v>1211</v>
      </c>
      <c r="E1979" s="2" t="str">
        <f>HYPERLINK("http://www.intercariforef.org/formations/certification-85565.html","85565")</f>
        <v>85565</v>
      </c>
      <c r="F1979" s="3">
        <v>42269</v>
      </c>
      <c r="G1979" s="3">
        <v>42269</v>
      </c>
    </row>
    <row r="1980" spans="1:7" x14ac:dyDescent="0.3">
      <c r="A1980" s="1" t="s">
        <v>2439</v>
      </c>
      <c r="B1980" s="1" t="s">
        <v>2531</v>
      </c>
      <c r="C1980" s="1" t="s">
        <v>2532</v>
      </c>
      <c r="D1980" s="2" t="str">
        <f>HYPERLINK("https://inventaire.cncp.gouv.fr/fiches/907/","907")</f>
        <v>907</v>
      </c>
      <c r="E1980" s="2" t="str">
        <f>HYPERLINK("http://www.intercariforef.org/formations/certification-85172.html","85172")</f>
        <v>85172</v>
      </c>
      <c r="F1980" s="3">
        <v>42201</v>
      </c>
      <c r="G1980" s="3">
        <v>42201</v>
      </c>
    </row>
    <row r="1981" spans="1:7" x14ac:dyDescent="0.3">
      <c r="A1981" s="1" t="s">
        <v>2439</v>
      </c>
      <c r="B1981" s="1" t="s">
        <v>2533</v>
      </c>
      <c r="C1981" s="1" t="s">
        <v>70</v>
      </c>
      <c r="D1981" s="2" t="str">
        <f>HYPERLINK("https://inventaire.cncp.gouv.fr/fiches/3863/","3863")</f>
        <v>3863</v>
      </c>
      <c r="E1981" s="2" t="str">
        <f>HYPERLINK("http://www.intercariforef.org/formations/certification-88205.html","88205")</f>
        <v>88205</v>
      </c>
      <c r="F1981" s="3">
        <v>42450</v>
      </c>
      <c r="G1981" s="3">
        <v>43353</v>
      </c>
    </row>
    <row r="1982" spans="1:7" x14ac:dyDescent="0.3">
      <c r="A1982" s="1" t="s">
        <v>2439</v>
      </c>
      <c r="B1982" s="1" t="s">
        <v>2534</v>
      </c>
      <c r="C1982" s="1" t="s">
        <v>40</v>
      </c>
      <c r="D1982" s="2" t="str">
        <f>HYPERLINK("https://inventaire.cncp.gouv.fr/fiches/100/","100")</f>
        <v>100</v>
      </c>
      <c r="E1982" s="2" t="str">
        <f>HYPERLINK("http://www.intercariforef.org/formations/certification-84556.html","84556")</f>
        <v>84556</v>
      </c>
      <c r="F1982" s="3">
        <v>42114</v>
      </c>
      <c r="G1982" s="3">
        <v>42979</v>
      </c>
    </row>
    <row r="1983" spans="1:7" x14ac:dyDescent="0.3">
      <c r="A1983" s="1" t="s">
        <v>2439</v>
      </c>
      <c r="B1983" s="1" t="s">
        <v>2535</v>
      </c>
      <c r="C1983" s="1" t="s">
        <v>40</v>
      </c>
      <c r="D1983" s="2" t="str">
        <f>HYPERLINK("https://inventaire.cncp.gouv.fr/fiches/59/","59")</f>
        <v>59</v>
      </c>
      <c r="E1983" s="2" t="str">
        <f>HYPERLINK("http://www.intercariforef.org/formations/certification-84525.html","84525")</f>
        <v>84525</v>
      </c>
      <c r="F1983" s="3">
        <v>42114</v>
      </c>
      <c r="G1983" s="3">
        <v>42979</v>
      </c>
    </row>
    <row r="1984" spans="1:7" ht="26.2" x14ac:dyDescent="0.3">
      <c r="A1984" s="1" t="s">
        <v>2439</v>
      </c>
      <c r="B1984" s="1" t="s">
        <v>2536</v>
      </c>
      <c r="C1984" s="1" t="s">
        <v>2537</v>
      </c>
      <c r="D1984" s="2" t="str">
        <f>HYPERLINK("https://inventaire.cncp.gouv.fr/fiches/1260/","1260")</f>
        <v>1260</v>
      </c>
      <c r="E1984" s="2" t="str">
        <f>HYPERLINK("http://www.intercariforef.org/formations/certification-85526.html","85526")</f>
        <v>85526</v>
      </c>
      <c r="F1984" s="3">
        <v>42269</v>
      </c>
      <c r="G1984" s="3">
        <v>42269</v>
      </c>
    </row>
    <row r="1985" spans="1:7" x14ac:dyDescent="0.3">
      <c r="A1985" s="1" t="s">
        <v>2439</v>
      </c>
      <c r="B1985" s="1" t="s">
        <v>2538</v>
      </c>
      <c r="C1985" s="1" t="s">
        <v>779</v>
      </c>
      <c r="D1985" s="2" t="str">
        <f>HYPERLINK("https://inventaire.cncp.gouv.fr/fiches/1410/","1410")</f>
        <v>1410</v>
      </c>
      <c r="E1985" s="2" t="str">
        <f>HYPERLINK("http://www.intercariforef.org/formations/certification-86379.html","86379")</f>
        <v>86379</v>
      </c>
      <c r="F1985" s="3">
        <v>42340</v>
      </c>
      <c r="G1985" s="3">
        <v>42979</v>
      </c>
    </row>
    <row r="1986" spans="1:7" ht="26.2" x14ac:dyDescent="0.3">
      <c r="A1986" s="1" t="s">
        <v>2439</v>
      </c>
      <c r="B1986" s="1" t="s">
        <v>2539</v>
      </c>
      <c r="C1986" s="1" t="s">
        <v>79</v>
      </c>
      <c r="D1986" s="2" t="str">
        <f>HYPERLINK("https://inventaire.cncp.gouv.fr/fiches/2625/","2625")</f>
        <v>2625</v>
      </c>
      <c r="E1986" s="2" t="str">
        <f>HYPERLINK("http://www.intercariforef.org/formations/certification-94771.html","94771")</f>
        <v>94771</v>
      </c>
      <c r="F1986" s="3">
        <v>42832</v>
      </c>
      <c r="G1986" s="3">
        <v>43111</v>
      </c>
    </row>
    <row r="1987" spans="1:7" x14ac:dyDescent="0.3">
      <c r="A1987" s="1" t="s">
        <v>2439</v>
      </c>
      <c r="B1987" s="1" t="s">
        <v>2540</v>
      </c>
      <c r="C1987" s="1" t="s">
        <v>779</v>
      </c>
      <c r="D1987" s="2" t="str">
        <f>HYPERLINK("https://inventaire.cncp.gouv.fr/fiches/2152/","2152")</f>
        <v>2152</v>
      </c>
      <c r="E1987" s="2" t="str">
        <f>HYPERLINK("http://www.intercariforef.org/formations/certification-89257.html","89257")</f>
        <v>89257</v>
      </c>
      <c r="F1987" s="3">
        <v>42522</v>
      </c>
      <c r="G1987" s="3">
        <v>42522</v>
      </c>
    </row>
    <row r="1988" spans="1:7" x14ac:dyDescent="0.3">
      <c r="A1988" s="1" t="s">
        <v>2439</v>
      </c>
      <c r="B1988" s="1" t="s">
        <v>2541</v>
      </c>
      <c r="C1988" s="1" t="s">
        <v>2542</v>
      </c>
      <c r="D1988" s="2" t="str">
        <f>HYPERLINK("https://inventaire.cncp.gouv.fr/fiches/164/","164")</f>
        <v>164</v>
      </c>
      <c r="E1988" s="2" t="str">
        <f>HYPERLINK("http://www.intercariforef.org/formations/certification-84558.html","84558")</f>
        <v>84558</v>
      </c>
      <c r="F1988" s="3">
        <v>42114</v>
      </c>
      <c r="G1988" s="3">
        <v>42979</v>
      </c>
    </row>
    <row r="1989" spans="1:7" x14ac:dyDescent="0.3">
      <c r="A1989" s="1" t="s">
        <v>2439</v>
      </c>
      <c r="B1989" s="1" t="s">
        <v>2543</v>
      </c>
      <c r="C1989" s="1" t="s">
        <v>2542</v>
      </c>
      <c r="D1989" s="2" t="str">
        <f>HYPERLINK("https://inventaire.cncp.gouv.fr/fiches/171/","171")</f>
        <v>171</v>
      </c>
      <c r="E1989" s="2" t="str">
        <f>HYPERLINK("http://www.intercariforef.org/formations/certification-84532.html","84532")</f>
        <v>84532</v>
      </c>
      <c r="F1989" s="3">
        <v>42114</v>
      </c>
      <c r="G1989" s="3">
        <v>42979</v>
      </c>
    </row>
    <row r="1990" spans="1:7" ht="26.2" x14ac:dyDescent="0.3">
      <c r="A1990" s="1" t="s">
        <v>2439</v>
      </c>
      <c r="B1990" s="1" t="s">
        <v>2544</v>
      </c>
      <c r="C1990" s="1" t="s">
        <v>1503</v>
      </c>
      <c r="D1990" s="2" t="str">
        <f>HYPERLINK("https://inventaire.cncp.gouv.fr/fiches/2945/","2945")</f>
        <v>2945</v>
      </c>
      <c r="E1990" s="2" t="str">
        <f>HYPERLINK("http://www.intercariforef.org/formations/certification-97077.html","97077")</f>
        <v>97077</v>
      </c>
      <c r="F1990" s="3">
        <v>42978</v>
      </c>
      <c r="G1990" s="3">
        <v>42978</v>
      </c>
    </row>
    <row r="1991" spans="1:7" x14ac:dyDescent="0.3">
      <c r="A1991" s="1" t="s">
        <v>2439</v>
      </c>
      <c r="B1991" s="1" t="s">
        <v>2545</v>
      </c>
      <c r="C1991" s="1" t="s">
        <v>2542</v>
      </c>
      <c r="D1991" s="2" t="str">
        <f>HYPERLINK("https://inventaire.cncp.gouv.fr/fiches/158/","158")</f>
        <v>158</v>
      </c>
      <c r="E1991" s="2" t="str">
        <f>HYPERLINK("http://www.intercariforef.org/formations/certification-84557.html","84557")</f>
        <v>84557</v>
      </c>
      <c r="F1991" s="3">
        <v>42114</v>
      </c>
      <c r="G1991" s="3">
        <v>42979</v>
      </c>
    </row>
    <row r="1992" spans="1:7" x14ac:dyDescent="0.3">
      <c r="A1992" s="1" t="s">
        <v>2439</v>
      </c>
      <c r="B1992" s="1" t="s">
        <v>2546</v>
      </c>
      <c r="C1992" s="1" t="s">
        <v>2542</v>
      </c>
      <c r="D1992" s="2" t="str">
        <f>HYPERLINK("https://inventaire.cncp.gouv.fr/fiches/169/","169")</f>
        <v>169</v>
      </c>
      <c r="E1992" s="2" t="str">
        <f>HYPERLINK("http://www.intercariforef.org/formations/certification-84529.html","84529")</f>
        <v>84529</v>
      </c>
      <c r="F1992" s="3">
        <v>42114</v>
      </c>
      <c r="G1992" s="3">
        <v>42979</v>
      </c>
    </row>
    <row r="1993" spans="1:7" ht="26.2" x14ac:dyDescent="0.3">
      <c r="A1993" s="1" t="s">
        <v>2439</v>
      </c>
      <c r="B1993" s="1" t="s">
        <v>2547</v>
      </c>
      <c r="C1993" s="1" t="s">
        <v>70</v>
      </c>
      <c r="D1993" s="2" t="str">
        <f>HYPERLINK("https://inventaire.cncp.gouv.fr/fiches/1242/","1242")</f>
        <v>1242</v>
      </c>
      <c r="E1993" s="2" t="str">
        <f>HYPERLINK("http://www.intercariforef.org/formations/certification-85640.html","85640")</f>
        <v>85640</v>
      </c>
      <c r="F1993" s="3">
        <v>42270</v>
      </c>
      <c r="G1993" s="3">
        <v>43111</v>
      </c>
    </row>
    <row r="1994" spans="1:7" ht="39.299999999999997" x14ac:dyDescent="0.3">
      <c r="A1994" s="1" t="s">
        <v>2439</v>
      </c>
      <c r="B1994" s="1" t="s">
        <v>2548</v>
      </c>
      <c r="C1994" s="1" t="s">
        <v>70</v>
      </c>
      <c r="D1994" s="2" t="str">
        <f>HYPERLINK("https://inventaire.cncp.gouv.fr/fiches/1243/","1243")</f>
        <v>1243</v>
      </c>
      <c r="E1994" s="2" t="str">
        <f>HYPERLINK("http://www.intercariforef.org/formations/certification-85635.html","85635")</f>
        <v>85635</v>
      </c>
      <c r="F1994" s="3">
        <v>42269</v>
      </c>
      <c r="G1994" s="3">
        <v>43111</v>
      </c>
    </row>
    <row r="1995" spans="1:7" ht="26.2" x14ac:dyDescent="0.3">
      <c r="A1995" s="1" t="s">
        <v>2439</v>
      </c>
      <c r="B1995" s="1" t="s">
        <v>2549</v>
      </c>
      <c r="C1995" s="1" t="s">
        <v>70</v>
      </c>
      <c r="D1995" s="2" t="str">
        <f>HYPERLINK("https://inventaire.cncp.gouv.fr/fiches/1244/","1244")</f>
        <v>1244</v>
      </c>
      <c r="E1995" s="2" t="str">
        <f>HYPERLINK("http://www.intercariforef.org/formations/certification-85634.html","85634")</f>
        <v>85634</v>
      </c>
      <c r="F1995" s="3">
        <v>42269</v>
      </c>
      <c r="G1995" s="3">
        <v>43111</v>
      </c>
    </row>
    <row r="1996" spans="1:7" ht="26.2" x14ac:dyDescent="0.3">
      <c r="A1996" s="1" t="s">
        <v>2439</v>
      </c>
      <c r="B1996" s="1" t="s">
        <v>2550</v>
      </c>
      <c r="C1996" s="1" t="s">
        <v>70</v>
      </c>
      <c r="D1996" s="2" t="str">
        <f>HYPERLINK("https://inventaire.cncp.gouv.fr/fiches/1236/","1236")</f>
        <v>1236</v>
      </c>
      <c r="E1996" s="2" t="str">
        <f>HYPERLINK("http://www.intercariforef.org/formations/certification-85642.html","85642")</f>
        <v>85642</v>
      </c>
      <c r="F1996" s="3">
        <v>42270</v>
      </c>
      <c r="G1996" s="3">
        <v>43111</v>
      </c>
    </row>
    <row r="1997" spans="1:7" x14ac:dyDescent="0.3">
      <c r="A1997" s="1" t="s">
        <v>2439</v>
      </c>
      <c r="B1997" s="1" t="s">
        <v>2551</v>
      </c>
      <c r="C1997" s="1" t="s">
        <v>779</v>
      </c>
      <c r="D1997" s="2" t="str">
        <f>HYPERLINK("https://inventaire.cncp.gouv.fr/fiches/2151/","2151")</f>
        <v>2151</v>
      </c>
      <c r="E1997" s="2" t="str">
        <f>HYPERLINK("http://www.intercariforef.org/formations/certification-89255.html","89255")</f>
        <v>89255</v>
      </c>
      <c r="F1997" s="3">
        <v>42522</v>
      </c>
      <c r="G1997" s="3">
        <v>42522</v>
      </c>
    </row>
    <row r="1998" spans="1:7" x14ac:dyDescent="0.3">
      <c r="A1998" s="1" t="s">
        <v>2439</v>
      </c>
      <c r="B1998" s="1" t="s">
        <v>2552</v>
      </c>
      <c r="C1998" s="1" t="s">
        <v>70</v>
      </c>
      <c r="D1998" s="2" t="str">
        <f>HYPERLINK("https://inventaire.cncp.gouv.fr/fiches/1182/","1182")</f>
        <v>1182</v>
      </c>
      <c r="E1998" s="2" t="str">
        <f>HYPERLINK("http://www.intercariforef.org/formations/certification-85644.html","85644")</f>
        <v>85644</v>
      </c>
      <c r="F1998" s="3">
        <v>42270</v>
      </c>
      <c r="G1998" s="3">
        <v>43111</v>
      </c>
    </row>
    <row r="1999" spans="1:7" ht="26.2" x14ac:dyDescent="0.3">
      <c r="A1999" s="1" t="s">
        <v>2439</v>
      </c>
      <c r="B1999" s="1" t="s">
        <v>2553</v>
      </c>
      <c r="C1999" s="1" t="s">
        <v>1503</v>
      </c>
      <c r="D1999" s="2" t="str">
        <f>HYPERLINK("https://inventaire.cncp.gouv.fr/fiches/2934/","2934")</f>
        <v>2934</v>
      </c>
      <c r="E1999" s="2" t="str">
        <f>HYPERLINK("http://www.intercariforef.org/formations/certification-97079.html","97079")</f>
        <v>97079</v>
      </c>
      <c r="F1999" s="3">
        <v>42978</v>
      </c>
      <c r="G1999" s="3">
        <v>42978</v>
      </c>
    </row>
    <row r="2000" spans="1:7" x14ac:dyDescent="0.3">
      <c r="A2000" s="1" t="s">
        <v>2439</v>
      </c>
      <c r="B2000" s="1" t="s">
        <v>2554</v>
      </c>
      <c r="C2000" s="1" t="s">
        <v>2542</v>
      </c>
      <c r="D2000" s="2" t="str">
        <f>HYPERLINK("https://inventaire.cncp.gouv.fr/fiches/156/","156")</f>
        <v>156</v>
      </c>
      <c r="E2000" s="2" t="str">
        <f>HYPERLINK("http://www.intercariforef.org/formations/certification-84554.html","84554")</f>
        <v>84554</v>
      </c>
      <c r="F2000" s="3">
        <v>42114</v>
      </c>
      <c r="G2000" s="3">
        <v>42979</v>
      </c>
    </row>
    <row r="2001" spans="1:7" x14ac:dyDescent="0.3">
      <c r="A2001" s="1" t="s">
        <v>2439</v>
      </c>
      <c r="B2001" s="1" t="s">
        <v>2555</v>
      </c>
      <c r="C2001" s="1" t="s">
        <v>2542</v>
      </c>
      <c r="D2001" s="2" t="str">
        <f>HYPERLINK("https://inventaire.cncp.gouv.fr/fiches/168/","168")</f>
        <v>168</v>
      </c>
      <c r="E2001" s="2" t="str">
        <f>HYPERLINK("http://www.intercariforef.org/formations/certification-84405.html","84405")</f>
        <v>84405</v>
      </c>
      <c r="F2001" s="3">
        <v>42109</v>
      </c>
      <c r="G2001" s="3">
        <v>42979</v>
      </c>
    </row>
    <row r="2002" spans="1:7" ht="26.2" x14ac:dyDescent="0.3">
      <c r="A2002" s="1" t="s">
        <v>2439</v>
      </c>
      <c r="B2002" s="1" t="s">
        <v>2556</v>
      </c>
      <c r="C2002" s="1" t="s">
        <v>2007</v>
      </c>
      <c r="D2002" s="2" t="str">
        <f>HYPERLINK("https://inventaire.cncp.gouv.fr/fiches/1116/","1116")</f>
        <v>1116</v>
      </c>
      <c r="E2002" s="2" t="str">
        <f>HYPERLINK("http://www.intercariforef.org/formations/certification-85591.html","85591")</f>
        <v>85591</v>
      </c>
      <c r="F2002" s="3">
        <v>42269</v>
      </c>
      <c r="G2002" s="3">
        <v>43111</v>
      </c>
    </row>
    <row r="2003" spans="1:7" ht="26.2" x14ac:dyDescent="0.3">
      <c r="A2003" s="1" t="s">
        <v>2439</v>
      </c>
      <c r="B2003" s="1" t="s">
        <v>2557</v>
      </c>
      <c r="C2003" s="1" t="s">
        <v>2007</v>
      </c>
      <c r="D2003" s="2" t="str">
        <f>HYPERLINK("https://inventaire.cncp.gouv.fr/fiches/1115/","1115")</f>
        <v>1115</v>
      </c>
      <c r="E2003" s="2" t="str">
        <f>HYPERLINK("http://www.intercariforef.org/formations/certification-85581.html","85581")</f>
        <v>85581</v>
      </c>
      <c r="F2003" s="3">
        <v>42269</v>
      </c>
      <c r="G2003" s="3">
        <v>43111</v>
      </c>
    </row>
    <row r="2004" spans="1:7" ht="26.2" x14ac:dyDescent="0.3">
      <c r="A2004" s="1" t="s">
        <v>2439</v>
      </c>
      <c r="B2004" s="1" t="s">
        <v>2558</v>
      </c>
      <c r="C2004" s="1" t="s">
        <v>2007</v>
      </c>
      <c r="D2004" s="2" t="str">
        <f>HYPERLINK("https://inventaire.cncp.gouv.fr/fiches/1117/","1117")</f>
        <v>1117</v>
      </c>
      <c r="E2004" s="2" t="str">
        <f>HYPERLINK("http://www.intercariforef.org/formations/certification-85593.html","85593")</f>
        <v>85593</v>
      </c>
      <c r="F2004" s="3">
        <v>42269</v>
      </c>
      <c r="G2004" s="3">
        <v>43111</v>
      </c>
    </row>
    <row r="2005" spans="1:7" ht="26.2" x14ac:dyDescent="0.3">
      <c r="A2005" s="1" t="s">
        <v>2439</v>
      </c>
      <c r="B2005" s="1" t="s">
        <v>2559</v>
      </c>
      <c r="C2005" s="1" t="s">
        <v>2007</v>
      </c>
      <c r="D2005" s="2" t="str">
        <f>HYPERLINK("https://inventaire.cncp.gouv.fr/fiches/1118/","1118")</f>
        <v>1118</v>
      </c>
      <c r="E2005" s="2" t="str">
        <f>HYPERLINK("http://www.intercariforef.org/formations/certification-85595.html","85595")</f>
        <v>85595</v>
      </c>
      <c r="F2005" s="3">
        <v>42269</v>
      </c>
      <c r="G2005" s="3">
        <v>43111</v>
      </c>
    </row>
    <row r="2006" spans="1:7" ht="26.2" x14ac:dyDescent="0.3">
      <c r="A2006" s="1" t="s">
        <v>2439</v>
      </c>
      <c r="B2006" s="1" t="s">
        <v>2560</v>
      </c>
      <c r="C2006" s="1" t="s">
        <v>2007</v>
      </c>
      <c r="D2006" s="2" t="str">
        <f>HYPERLINK("https://inventaire.cncp.gouv.fr/fiches/1119/","1119")</f>
        <v>1119</v>
      </c>
      <c r="E2006" s="2" t="str">
        <f>HYPERLINK("http://www.intercariforef.org/formations/certification-85596.html","85596")</f>
        <v>85596</v>
      </c>
      <c r="F2006" s="3">
        <v>42269</v>
      </c>
      <c r="G2006" s="3">
        <v>43111</v>
      </c>
    </row>
    <row r="2007" spans="1:7" ht="26.2" x14ac:dyDescent="0.3">
      <c r="A2007" s="1" t="s">
        <v>2439</v>
      </c>
      <c r="B2007" s="1" t="s">
        <v>2561</v>
      </c>
      <c r="C2007" s="1" t="s">
        <v>2007</v>
      </c>
      <c r="D2007" s="2" t="str">
        <f>HYPERLINK("https://inventaire.cncp.gouv.fr/fiches/1120/","1120")</f>
        <v>1120</v>
      </c>
      <c r="E2007" s="2" t="str">
        <f>HYPERLINK("http://www.intercariforef.org/formations/certification-85598.html","85598")</f>
        <v>85598</v>
      </c>
      <c r="F2007" s="3">
        <v>42269</v>
      </c>
      <c r="G2007" s="3">
        <v>43111</v>
      </c>
    </row>
    <row r="2008" spans="1:7" ht="26.2" x14ac:dyDescent="0.3">
      <c r="A2008" s="1" t="s">
        <v>2439</v>
      </c>
      <c r="B2008" s="1" t="s">
        <v>2562</v>
      </c>
      <c r="C2008" s="1" t="s">
        <v>2007</v>
      </c>
      <c r="D2008" s="2" t="str">
        <f>HYPERLINK("https://inventaire.cncp.gouv.fr/fiches/1121/","1121")</f>
        <v>1121</v>
      </c>
      <c r="E2008" s="2" t="str">
        <f>HYPERLINK("http://www.intercariforef.org/formations/certification-85599.html","85599")</f>
        <v>85599</v>
      </c>
      <c r="F2008" s="3">
        <v>42269</v>
      </c>
      <c r="G2008" s="3">
        <v>43111</v>
      </c>
    </row>
    <row r="2009" spans="1:7" ht="26.2" x14ac:dyDescent="0.3">
      <c r="A2009" s="1" t="s">
        <v>2439</v>
      </c>
      <c r="B2009" s="1" t="s">
        <v>2563</v>
      </c>
      <c r="C2009" s="1" t="s">
        <v>2007</v>
      </c>
      <c r="D2009" s="2" t="str">
        <f>HYPERLINK("https://inventaire.cncp.gouv.fr/fiches/1122/","1122")</f>
        <v>1122</v>
      </c>
      <c r="E2009" s="2" t="str">
        <f>HYPERLINK("http://www.intercariforef.org/formations/certification-85600.html","85600")</f>
        <v>85600</v>
      </c>
      <c r="F2009" s="3">
        <v>42269</v>
      </c>
      <c r="G2009" s="3">
        <v>43111</v>
      </c>
    </row>
    <row r="2010" spans="1:7" ht="26.2" x14ac:dyDescent="0.3">
      <c r="A2010" s="1" t="s">
        <v>2439</v>
      </c>
      <c r="B2010" s="1" t="s">
        <v>2564</v>
      </c>
      <c r="C2010" s="1" t="s">
        <v>2007</v>
      </c>
      <c r="D2010" s="2" t="str">
        <f>HYPERLINK("https://inventaire.cncp.gouv.fr/fiches/1123/","1123")</f>
        <v>1123</v>
      </c>
      <c r="E2010" s="2" t="str">
        <f>HYPERLINK("http://www.intercariforef.org/formations/certification-85601.html","85601")</f>
        <v>85601</v>
      </c>
      <c r="F2010" s="3">
        <v>42269</v>
      </c>
      <c r="G2010" s="3">
        <v>43111</v>
      </c>
    </row>
    <row r="2011" spans="1:7" ht="26.2" x14ac:dyDescent="0.3">
      <c r="A2011" s="1" t="s">
        <v>2439</v>
      </c>
      <c r="B2011" s="1" t="s">
        <v>2565</v>
      </c>
      <c r="C2011" s="1" t="s">
        <v>2007</v>
      </c>
      <c r="D2011" s="2" t="str">
        <f>HYPERLINK("https://inventaire.cncp.gouv.fr/fiches/1124/","1124")</f>
        <v>1124</v>
      </c>
      <c r="E2011" s="2" t="str">
        <f>HYPERLINK("http://www.intercariforef.org/formations/certification-85602.html","85602")</f>
        <v>85602</v>
      </c>
      <c r="F2011" s="3">
        <v>42269</v>
      </c>
      <c r="G2011" s="3">
        <v>43111</v>
      </c>
    </row>
    <row r="2012" spans="1:7" x14ac:dyDescent="0.3">
      <c r="A2012" s="1" t="s">
        <v>2439</v>
      </c>
      <c r="B2012" s="1" t="s">
        <v>2566</v>
      </c>
      <c r="C2012" s="1" t="s">
        <v>2007</v>
      </c>
      <c r="D2012" s="2" t="str">
        <f>HYPERLINK("https://inventaire.cncp.gouv.fr/fiches/1110/","1110")</f>
        <v>1110</v>
      </c>
      <c r="E2012" s="2" t="str">
        <f>HYPERLINK("http://www.intercariforef.org/formations/certification-85573.html","85573")</f>
        <v>85573</v>
      </c>
      <c r="F2012" s="3">
        <v>42269</v>
      </c>
      <c r="G2012" s="3">
        <v>43111</v>
      </c>
    </row>
    <row r="2013" spans="1:7" ht="26.2" x14ac:dyDescent="0.3">
      <c r="A2013" s="1" t="s">
        <v>2439</v>
      </c>
      <c r="B2013" s="1" t="s">
        <v>2567</v>
      </c>
      <c r="C2013" s="1" t="s">
        <v>2007</v>
      </c>
      <c r="D2013" s="2" t="str">
        <f>HYPERLINK("https://inventaire.cncp.gouv.fr/fiches/1112/","1112")</f>
        <v>1112</v>
      </c>
      <c r="E2013" s="2" t="str">
        <f>HYPERLINK("http://www.intercariforef.org/formations/certification-85574.html","85574")</f>
        <v>85574</v>
      </c>
      <c r="F2013" s="3">
        <v>42269</v>
      </c>
      <c r="G2013" s="3">
        <v>43111</v>
      </c>
    </row>
    <row r="2014" spans="1:7" ht="26.2" x14ac:dyDescent="0.3">
      <c r="A2014" s="1" t="s">
        <v>2439</v>
      </c>
      <c r="B2014" s="1" t="s">
        <v>2568</v>
      </c>
      <c r="C2014" s="1" t="s">
        <v>2007</v>
      </c>
      <c r="D2014" s="2" t="str">
        <f>HYPERLINK("https://inventaire.cncp.gouv.fr/fiches/1113/","1113")</f>
        <v>1113</v>
      </c>
      <c r="E2014" s="2" t="str">
        <f>HYPERLINK("http://www.intercariforef.org/formations/certification-85576.html","85576")</f>
        <v>85576</v>
      </c>
      <c r="F2014" s="3">
        <v>42269</v>
      </c>
      <c r="G2014" s="3">
        <v>43111</v>
      </c>
    </row>
    <row r="2015" spans="1:7" ht="26.2" x14ac:dyDescent="0.3">
      <c r="A2015" s="1" t="s">
        <v>2439</v>
      </c>
      <c r="B2015" s="1" t="s">
        <v>2569</v>
      </c>
      <c r="C2015" s="1" t="s">
        <v>2007</v>
      </c>
      <c r="D2015" s="2" t="str">
        <f>HYPERLINK("https://inventaire.cncp.gouv.fr/fiches/1114/","1114")</f>
        <v>1114</v>
      </c>
      <c r="E2015" s="2" t="str">
        <f>HYPERLINK("http://www.intercariforef.org/formations/certification-85580.html","85580")</f>
        <v>85580</v>
      </c>
      <c r="F2015" s="3">
        <v>42269</v>
      </c>
      <c r="G2015" s="3">
        <v>43111</v>
      </c>
    </row>
    <row r="2016" spans="1:7" ht="39.299999999999997" x14ac:dyDescent="0.3">
      <c r="A2016" s="1" t="s">
        <v>2439</v>
      </c>
      <c r="B2016" s="1" t="s">
        <v>2570</v>
      </c>
      <c r="C2016" s="1" t="s">
        <v>70</v>
      </c>
      <c r="D2016" s="2" t="str">
        <f>HYPERLINK("https://inventaire.cncp.gouv.fr/fiches/1247/","1247")</f>
        <v>1247</v>
      </c>
      <c r="E2016" s="2" t="str">
        <f>HYPERLINK("http://www.intercariforef.org/formations/certification-85633.html","85633")</f>
        <v>85633</v>
      </c>
      <c r="F2016" s="3">
        <v>42269</v>
      </c>
      <c r="G2016" s="3">
        <v>43111</v>
      </c>
    </row>
    <row r="2017" spans="1:7" ht="26.2" x14ac:dyDescent="0.3">
      <c r="A2017" s="1" t="s">
        <v>2439</v>
      </c>
      <c r="B2017" s="1" t="s">
        <v>2571</v>
      </c>
      <c r="C2017" s="1" t="s">
        <v>70</v>
      </c>
      <c r="D2017" s="2" t="str">
        <f>HYPERLINK("https://inventaire.cncp.gouv.fr/fiches/1181/","1181")</f>
        <v>1181</v>
      </c>
      <c r="E2017" s="2" t="str">
        <f>HYPERLINK("http://www.intercariforef.org/formations/certification-85645.html","85645")</f>
        <v>85645</v>
      </c>
      <c r="F2017" s="3">
        <v>42270</v>
      </c>
      <c r="G2017" s="3">
        <v>43111</v>
      </c>
    </row>
    <row r="2018" spans="1:7" ht="26.2" x14ac:dyDescent="0.3">
      <c r="A2018" s="1" t="s">
        <v>2439</v>
      </c>
      <c r="B2018" s="1" t="s">
        <v>2572</v>
      </c>
      <c r="C2018" s="1" t="s">
        <v>70</v>
      </c>
      <c r="D2018" s="2" t="str">
        <f>HYPERLINK("https://inventaire.cncp.gouv.fr/fiches/1179/","1179")</f>
        <v>1179</v>
      </c>
      <c r="E2018" s="2" t="str">
        <f>HYPERLINK("http://www.intercariforef.org/formations/certification-85646.html","85646")</f>
        <v>85646</v>
      </c>
      <c r="F2018" s="3">
        <v>42270</v>
      </c>
      <c r="G2018" s="3">
        <v>43111</v>
      </c>
    </row>
    <row r="2019" spans="1:7" x14ac:dyDescent="0.3">
      <c r="A2019" s="1" t="s">
        <v>2439</v>
      </c>
      <c r="B2019" s="1" t="s">
        <v>2573</v>
      </c>
      <c r="C2019" s="1" t="s">
        <v>2007</v>
      </c>
      <c r="D2019" s="2" t="str">
        <f>HYPERLINK("https://inventaire.cncp.gouv.fr/fiches/1099/","1099")</f>
        <v>1099</v>
      </c>
      <c r="E2019" s="2" t="str">
        <f>HYPERLINK("http://www.intercariforef.org/formations/certification-85639.html","85639")</f>
        <v>85639</v>
      </c>
      <c r="F2019" s="3">
        <v>42270</v>
      </c>
      <c r="G2019" s="3">
        <v>43111</v>
      </c>
    </row>
    <row r="2020" spans="1:7" x14ac:dyDescent="0.3">
      <c r="A2020" s="1" t="s">
        <v>2439</v>
      </c>
      <c r="B2020" s="1" t="s">
        <v>2574</v>
      </c>
      <c r="C2020" s="1" t="s">
        <v>70</v>
      </c>
      <c r="D2020" s="2" t="str">
        <f>HYPERLINK("https://inventaire.cncp.gouv.fr/fiches/2287/","2287")</f>
        <v>2287</v>
      </c>
      <c r="E2020" s="2" t="str">
        <f>HYPERLINK("http://www.intercariforef.org/formations/certification-92973.html","92973")</f>
        <v>92973</v>
      </c>
      <c r="F2020" s="3">
        <v>42688</v>
      </c>
      <c r="G2020" s="3">
        <v>43111</v>
      </c>
    </row>
    <row r="2021" spans="1:7" x14ac:dyDescent="0.3">
      <c r="A2021" s="1" t="s">
        <v>2439</v>
      </c>
      <c r="B2021" s="1" t="s">
        <v>2575</v>
      </c>
      <c r="C2021" s="1" t="s">
        <v>2457</v>
      </c>
      <c r="D2021" s="2" t="str">
        <f>HYPERLINK("https://inventaire.cncp.gouv.fr/fiches/2938/","2938")</f>
        <v>2938</v>
      </c>
      <c r="E2021" s="2" t="str">
        <f>HYPERLINK("http://www.intercariforef.org/formations/certification-99277.html","99277")</f>
        <v>99277</v>
      </c>
      <c r="F2021" s="3">
        <v>43083</v>
      </c>
      <c r="G2021" s="3">
        <v>43083</v>
      </c>
    </row>
    <row r="2022" spans="1:7" x14ac:dyDescent="0.3">
      <c r="A2022" s="1" t="s">
        <v>2439</v>
      </c>
      <c r="B2022" s="1" t="s">
        <v>2576</v>
      </c>
      <c r="C2022" s="1" t="s">
        <v>2457</v>
      </c>
      <c r="D2022" s="2" t="str">
        <f>HYPERLINK("https://inventaire.cncp.gouv.fr/fiches/2939/","2939")</f>
        <v>2939</v>
      </c>
      <c r="E2022" s="2" t="str">
        <f>HYPERLINK("http://www.intercariforef.org/formations/certification-99275.html","99275")</f>
        <v>99275</v>
      </c>
      <c r="F2022" s="3">
        <v>43083</v>
      </c>
      <c r="G2022" s="3">
        <v>43083</v>
      </c>
    </row>
    <row r="2023" spans="1:7" x14ac:dyDescent="0.3">
      <c r="A2023" s="1" t="s">
        <v>2439</v>
      </c>
      <c r="B2023" s="1" t="s">
        <v>2577</v>
      </c>
      <c r="C2023" s="1" t="s">
        <v>2457</v>
      </c>
      <c r="D2023" s="2" t="str">
        <f>HYPERLINK("https://inventaire.cncp.gouv.fr/fiches/2943/","2943")</f>
        <v>2943</v>
      </c>
      <c r="E2023" s="2" t="str">
        <f>HYPERLINK("http://www.intercariforef.org/formations/certification-99267.html","99267")</f>
        <v>99267</v>
      </c>
      <c r="F2023" s="3">
        <v>43083</v>
      </c>
      <c r="G2023" s="3">
        <v>43083</v>
      </c>
    </row>
    <row r="2024" spans="1:7" x14ac:dyDescent="0.3">
      <c r="A2024" s="1" t="s">
        <v>2439</v>
      </c>
      <c r="B2024" s="1" t="s">
        <v>2578</v>
      </c>
      <c r="C2024" s="1" t="s">
        <v>70</v>
      </c>
      <c r="D2024" s="2" t="str">
        <f>HYPERLINK("https://inventaire.cncp.gouv.fr/fiches/1199/","1199")</f>
        <v>1199</v>
      </c>
      <c r="E2024" s="2" t="str">
        <f>HYPERLINK("http://www.intercariforef.org/formations/certification-85620.html","85620")</f>
        <v>85620</v>
      </c>
      <c r="F2024" s="3">
        <v>42269</v>
      </c>
      <c r="G2024" s="3">
        <v>43111</v>
      </c>
    </row>
    <row r="2025" spans="1:7" x14ac:dyDescent="0.3">
      <c r="A2025" s="1" t="s">
        <v>2439</v>
      </c>
      <c r="B2025" s="1" t="s">
        <v>2579</v>
      </c>
      <c r="C2025" s="1" t="s">
        <v>70</v>
      </c>
      <c r="D2025" s="2" t="str">
        <f>HYPERLINK("https://inventaire.cncp.gouv.fr/fiches/1200/","1200")</f>
        <v>1200</v>
      </c>
      <c r="E2025" s="2" t="str">
        <f>HYPERLINK("http://www.intercariforef.org/formations/certification-85619.html","85619")</f>
        <v>85619</v>
      </c>
      <c r="F2025" s="3">
        <v>42269</v>
      </c>
      <c r="G2025" s="3">
        <v>43111</v>
      </c>
    </row>
    <row r="2026" spans="1:7" x14ac:dyDescent="0.3">
      <c r="A2026" s="1" t="s">
        <v>2439</v>
      </c>
      <c r="B2026" s="1" t="s">
        <v>2580</v>
      </c>
      <c r="C2026" s="1" t="s">
        <v>40</v>
      </c>
      <c r="D2026" s="2" t="str">
        <f>HYPERLINK("https://inventaire.cncp.gouv.fr/fiches/57/","57")</f>
        <v>57</v>
      </c>
      <c r="E2026" s="2" t="str">
        <f>HYPERLINK("http://www.intercariforef.org/formations/certification-84549.html","84549")</f>
        <v>84549</v>
      </c>
      <c r="F2026" s="3">
        <v>42114</v>
      </c>
      <c r="G2026" s="3">
        <v>42979</v>
      </c>
    </row>
    <row r="2027" spans="1:7" x14ac:dyDescent="0.3">
      <c r="A2027" s="1" t="s">
        <v>2439</v>
      </c>
      <c r="B2027" s="1" t="s">
        <v>2581</v>
      </c>
      <c r="C2027" s="1" t="s">
        <v>40</v>
      </c>
      <c r="D2027" s="2" t="str">
        <f>HYPERLINK("https://inventaire.cncp.gouv.fr/fiches/56/","56")</f>
        <v>56</v>
      </c>
      <c r="E2027" s="2" t="str">
        <f>HYPERLINK("http://www.intercariforef.org/formations/certification-84555.html","84555")</f>
        <v>84555</v>
      </c>
      <c r="F2027" s="3">
        <v>42114</v>
      </c>
      <c r="G2027" s="3">
        <v>42979</v>
      </c>
    </row>
    <row r="2028" spans="1:7" x14ac:dyDescent="0.3">
      <c r="A2028" s="1" t="s">
        <v>2439</v>
      </c>
      <c r="B2028" s="1" t="s">
        <v>2582</v>
      </c>
      <c r="C2028" s="1" t="s">
        <v>40</v>
      </c>
      <c r="D2028" s="2" t="str">
        <f>HYPERLINK("https://inventaire.cncp.gouv.fr/fiches/119/","119")</f>
        <v>119</v>
      </c>
      <c r="E2028" s="2" t="str">
        <f>HYPERLINK("http://www.intercariforef.org/formations/certification-84535.html","84535")</f>
        <v>84535</v>
      </c>
      <c r="F2028" s="3">
        <v>42114</v>
      </c>
      <c r="G2028" s="3">
        <v>42979</v>
      </c>
    </row>
    <row r="2029" spans="1:7" x14ac:dyDescent="0.3">
      <c r="A2029" s="1" t="s">
        <v>2439</v>
      </c>
      <c r="B2029" s="1" t="s">
        <v>2583</v>
      </c>
      <c r="C2029" s="1" t="s">
        <v>40</v>
      </c>
      <c r="D2029" s="2" t="str">
        <f>HYPERLINK("https://inventaire.cncp.gouv.fr/fiches/65/","65")</f>
        <v>65</v>
      </c>
      <c r="E2029" s="2" t="str">
        <f>HYPERLINK("http://www.intercariforef.org/formations/certification-84550.html","84550")</f>
        <v>84550</v>
      </c>
      <c r="F2029" s="3">
        <v>42114</v>
      </c>
      <c r="G2029" s="3">
        <v>42979</v>
      </c>
    </row>
    <row r="2030" spans="1:7" x14ac:dyDescent="0.3">
      <c r="A2030" s="1" t="s">
        <v>2439</v>
      </c>
      <c r="B2030" s="1" t="s">
        <v>2584</v>
      </c>
      <c r="C2030" s="1" t="s">
        <v>70</v>
      </c>
      <c r="D2030" s="2" t="str">
        <f>HYPERLINK("https://inventaire.cncp.gouv.fr/fiches/740/","740")</f>
        <v>740</v>
      </c>
      <c r="E2030" s="2" t="str">
        <f>HYPERLINK("http://www.intercariforef.org/formations/certification-84740.html","84740")</f>
        <v>84740</v>
      </c>
      <c r="F2030" s="3">
        <v>42156</v>
      </c>
      <c r="G2030" s="3">
        <v>43111</v>
      </c>
    </row>
    <row r="2031" spans="1:7" x14ac:dyDescent="0.3">
      <c r="A2031" s="1" t="s">
        <v>2439</v>
      </c>
      <c r="B2031" s="1" t="s">
        <v>2585</v>
      </c>
      <c r="C2031" s="1" t="s">
        <v>2586</v>
      </c>
      <c r="D2031" s="2" t="str">
        <f>HYPERLINK("https://inventaire.cncp.gouv.fr/fiches/1197/","1197")</f>
        <v>1197</v>
      </c>
      <c r="E2031" s="2" t="str">
        <f>HYPERLINK("http://www.intercariforef.org/formations/certification-69587.html","69587")</f>
        <v>69587</v>
      </c>
      <c r="F2031" s="3">
        <v>40359</v>
      </c>
      <c r="G2031" s="3">
        <v>42634</v>
      </c>
    </row>
    <row r="2032" spans="1:7" x14ac:dyDescent="0.3">
      <c r="A2032" s="1" t="s">
        <v>2439</v>
      </c>
      <c r="B2032" s="1" t="s">
        <v>2587</v>
      </c>
      <c r="C2032" s="1" t="s">
        <v>40</v>
      </c>
      <c r="D2032" s="2" t="str">
        <f>HYPERLINK("https://inventaire.cncp.gouv.fr/fiches/1039/","1039")</f>
        <v>1039</v>
      </c>
      <c r="E2032" s="2" t="str">
        <f>HYPERLINK("http://www.intercariforef.org/formations/certification-85054.html","85054")</f>
        <v>85054</v>
      </c>
      <c r="F2032" s="3">
        <v>42185</v>
      </c>
      <c r="G2032" s="3">
        <v>42979</v>
      </c>
    </row>
    <row r="2033" spans="1:7" x14ac:dyDescent="0.3">
      <c r="A2033" s="1" t="s">
        <v>2439</v>
      </c>
      <c r="B2033" s="1" t="s">
        <v>2588</v>
      </c>
      <c r="C2033" s="1" t="s">
        <v>40</v>
      </c>
      <c r="D2033" s="2" t="str">
        <f>HYPERLINK("https://inventaire.cncp.gouv.fr/fiches/1041/","1041")</f>
        <v>1041</v>
      </c>
      <c r="E2033" s="2" t="str">
        <f>HYPERLINK("http://www.intercariforef.org/formations/certification-85014.html","85014")</f>
        <v>85014</v>
      </c>
      <c r="F2033" s="3">
        <v>42184</v>
      </c>
      <c r="G2033" s="3">
        <v>42979</v>
      </c>
    </row>
    <row r="2034" spans="1:7" x14ac:dyDescent="0.3">
      <c r="A2034" s="1" t="s">
        <v>2439</v>
      </c>
      <c r="B2034" s="1" t="s">
        <v>2589</v>
      </c>
      <c r="C2034" s="1" t="s">
        <v>413</v>
      </c>
      <c r="D2034" s="2" t="str">
        <f>HYPERLINK("https://inventaire.cncp.gouv.fr/fiches/3102/","3102")</f>
        <v>3102</v>
      </c>
      <c r="E2034" s="2" t="str">
        <f>HYPERLINK("http://www.intercariforef.org/formations/certification-100137.html","100137")</f>
        <v>100137</v>
      </c>
      <c r="F2034" s="3">
        <v>43153</v>
      </c>
      <c r="G2034" s="3">
        <v>43153</v>
      </c>
    </row>
    <row r="2035" spans="1:7" x14ac:dyDescent="0.3">
      <c r="A2035" s="1" t="s">
        <v>2439</v>
      </c>
      <c r="B2035" s="1" t="s">
        <v>2590</v>
      </c>
      <c r="C2035" s="1" t="s">
        <v>2457</v>
      </c>
      <c r="D2035" s="2" t="str">
        <f>HYPERLINK("https://inventaire.cncp.gouv.fr/fiches/2935/","2935")</f>
        <v>2935</v>
      </c>
      <c r="E2035" s="2" t="str">
        <f>HYPERLINK("http://www.intercariforef.org/formations/certification-99283.html","99283")</f>
        <v>99283</v>
      </c>
      <c r="F2035" s="3">
        <v>43083</v>
      </c>
      <c r="G2035" s="3">
        <v>43083</v>
      </c>
    </row>
    <row r="2036" spans="1:7" x14ac:dyDescent="0.3">
      <c r="A2036" s="1" t="s">
        <v>2439</v>
      </c>
      <c r="B2036" s="1" t="s">
        <v>2591</v>
      </c>
      <c r="C2036" s="1" t="s">
        <v>2457</v>
      </c>
      <c r="D2036" s="2" t="str">
        <f>HYPERLINK("https://inventaire.cncp.gouv.fr/fiches/2937/","2937")</f>
        <v>2937</v>
      </c>
      <c r="E2036" s="2" t="str">
        <f>HYPERLINK("http://www.intercariforef.org/formations/certification-99279.html","99279")</f>
        <v>99279</v>
      </c>
      <c r="F2036" s="3">
        <v>43083</v>
      </c>
      <c r="G2036" s="3">
        <v>43083</v>
      </c>
    </row>
    <row r="2037" spans="1:7" x14ac:dyDescent="0.3">
      <c r="A2037" s="1" t="s">
        <v>2439</v>
      </c>
      <c r="B2037" s="1" t="s">
        <v>2592</v>
      </c>
      <c r="C2037" s="1" t="s">
        <v>2457</v>
      </c>
      <c r="D2037" s="2" t="str">
        <f>HYPERLINK("https://inventaire.cncp.gouv.fr/fiches/2936/","2936")</f>
        <v>2936</v>
      </c>
      <c r="E2037" s="2" t="str">
        <f>HYPERLINK("http://www.intercariforef.org/formations/certification-99281.html","99281")</f>
        <v>99281</v>
      </c>
      <c r="F2037" s="3">
        <v>43083</v>
      </c>
      <c r="G2037" s="3">
        <v>43083</v>
      </c>
    </row>
    <row r="2038" spans="1:7" x14ac:dyDescent="0.3">
      <c r="A2038" s="1" t="s">
        <v>2439</v>
      </c>
      <c r="B2038" s="1" t="s">
        <v>2593</v>
      </c>
      <c r="C2038" s="1" t="s">
        <v>40</v>
      </c>
      <c r="D2038" s="2" t="str">
        <f>HYPERLINK("https://inventaire.cncp.gouv.fr/fiches/58/","58")</f>
        <v>58</v>
      </c>
      <c r="E2038" s="2" t="str">
        <f>HYPERLINK("http://www.intercariforef.org/formations/certification-84523.html","84523")</f>
        <v>84523</v>
      </c>
      <c r="F2038" s="3">
        <v>42114</v>
      </c>
      <c r="G2038" s="3">
        <v>42979</v>
      </c>
    </row>
    <row r="2039" spans="1:7" x14ac:dyDescent="0.3">
      <c r="A2039" s="1" t="s">
        <v>2439</v>
      </c>
      <c r="B2039" s="1" t="s">
        <v>2594</v>
      </c>
      <c r="C2039" s="1" t="s">
        <v>40</v>
      </c>
      <c r="D2039" s="2" t="str">
        <f>HYPERLINK("https://inventaire.cncp.gouv.fr/fiches/67/","67")</f>
        <v>67</v>
      </c>
      <c r="E2039" s="2" t="str">
        <f>HYPERLINK("http://www.intercariforef.org/formations/certification-84551.html","84551")</f>
        <v>84551</v>
      </c>
      <c r="F2039" s="3">
        <v>42114</v>
      </c>
      <c r="G2039" s="3">
        <v>42979</v>
      </c>
    </row>
    <row r="2040" spans="1:7" x14ac:dyDescent="0.3">
      <c r="A2040" s="1" t="s">
        <v>2439</v>
      </c>
      <c r="B2040" s="1" t="s">
        <v>2595</v>
      </c>
      <c r="C2040" s="1" t="s">
        <v>40</v>
      </c>
      <c r="D2040" s="2" t="str">
        <f>HYPERLINK("https://inventaire.cncp.gouv.fr/fiches/55/","55")</f>
        <v>55</v>
      </c>
      <c r="E2040" s="2" t="str">
        <f>HYPERLINK("http://www.intercariforef.org/formations/certification-84548.html","84548")</f>
        <v>84548</v>
      </c>
      <c r="F2040" s="3">
        <v>42114</v>
      </c>
      <c r="G2040" s="3">
        <v>42979</v>
      </c>
    </row>
    <row r="2041" spans="1:7" x14ac:dyDescent="0.3">
      <c r="A2041" s="1" t="s">
        <v>2439</v>
      </c>
      <c r="B2041" s="1" t="s">
        <v>2596</v>
      </c>
      <c r="C2041" s="1" t="s">
        <v>2597</v>
      </c>
      <c r="D2041" s="2" t="str">
        <f>HYPERLINK("https://inventaire.cncp.gouv.fr/fiches/2639/","2639")</f>
        <v>2639</v>
      </c>
      <c r="E2041" s="2" t="str">
        <f>HYPERLINK("http://www.intercariforef.org/formations/certification-94871.html","94871")</f>
        <v>94871</v>
      </c>
      <c r="F2041" s="3">
        <v>42836</v>
      </c>
      <c r="G2041" s="3">
        <v>42836</v>
      </c>
    </row>
    <row r="2042" spans="1:7" x14ac:dyDescent="0.3">
      <c r="A2042" s="1" t="s">
        <v>2439</v>
      </c>
      <c r="B2042" s="1" t="s">
        <v>2598</v>
      </c>
      <c r="C2042" s="1" t="s">
        <v>2597</v>
      </c>
      <c r="D2042" s="2" t="str">
        <f>HYPERLINK("https://inventaire.cncp.gouv.fr/fiches/2638/","2638")</f>
        <v>2638</v>
      </c>
      <c r="E2042" s="2" t="str">
        <f>HYPERLINK("http://www.intercariforef.org/formations/certification-94881.html","94881")</f>
        <v>94881</v>
      </c>
      <c r="F2042" s="3">
        <v>42836</v>
      </c>
      <c r="G2042" s="3">
        <v>42836</v>
      </c>
    </row>
    <row r="2043" spans="1:7" x14ac:dyDescent="0.3">
      <c r="A2043" s="1" t="s">
        <v>2439</v>
      </c>
      <c r="B2043" s="1" t="s">
        <v>2599</v>
      </c>
      <c r="C2043" s="1" t="s">
        <v>2457</v>
      </c>
      <c r="D2043" s="2" t="str">
        <f>HYPERLINK("https://inventaire.cncp.gouv.fr/fiches/1951/","1951")</f>
        <v>1951</v>
      </c>
      <c r="E2043" s="2" t="str">
        <f>HYPERLINK("http://www.intercariforef.org/formations/certification-90057.html","90057")</f>
        <v>90057</v>
      </c>
      <c r="F2043" s="3">
        <v>42558</v>
      </c>
      <c r="G2043" s="3">
        <v>42558</v>
      </c>
    </row>
    <row r="2044" spans="1:7" x14ac:dyDescent="0.3">
      <c r="A2044" s="1" t="s">
        <v>2439</v>
      </c>
      <c r="B2044" s="1" t="s">
        <v>2600</v>
      </c>
      <c r="C2044" s="1" t="s">
        <v>2601</v>
      </c>
      <c r="D2044" s="2" t="str">
        <f>HYPERLINK("https://inventaire.cncp.gouv.fr/fiches/3382/","3382")</f>
        <v>3382</v>
      </c>
      <c r="E2044" s="2" t="str">
        <f>HYPERLINK("http://www.intercariforef.org/formations/certification-103955.html","103955")</f>
        <v>103955</v>
      </c>
      <c r="F2044" s="3">
        <v>43391</v>
      </c>
      <c r="G2044" s="3">
        <v>43391</v>
      </c>
    </row>
    <row r="2045" spans="1:7" x14ac:dyDescent="0.3">
      <c r="A2045" s="1" t="s">
        <v>2439</v>
      </c>
      <c r="B2045" s="1" t="s">
        <v>2602</v>
      </c>
      <c r="C2045" s="1" t="s">
        <v>2007</v>
      </c>
      <c r="D2045" s="2" t="str">
        <f>HYPERLINK("https://inventaire.cncp.gouv.fr/fiches/1589/","1589")</f>
        <v>1589</v>
      </c>
      <c r="E2045" s="2" t="str">
        <f>HYPERLINK("http://www.intercariforef.org/formations/certification-81346.html","81346")</f>
        <v>81346</v>
      </c>
      <c r="F2045" s="3">
        <v>41444</v>
      </c>
      <c r="G2045" s="3">
        <v>43111</v>
      </c>
    </row>
    <row r="2046" spans="1:7" x14ac:dyDescent="0.3">
      <c r="A2046" s="1" t="s">
        <v>2439</v>
      </c>
      <c r="B2046" s="1" t="s">
        <v>2603</v>
      </c>
      <c r="C2046" s="1" t="s">
        <v>2007</v>
      </c>
      <c r="D2046" s="2" t="str">
        <f>HYPERLINK("https://inventaire.cncp.gouv.fr/fiches/1591/","1591")</f>
        <v>1591</v>
      </c>
      <c r="E2046" s="2" t="str">
        <f>HYPERLINK("http://www.intercariforef.org/formations/certification-82260.html","82260")</f>
        <v>82260</v>
      </c>
      <c r="F2046" s="3">
        <v>41607</v>
      </c>
      <c r="G2046" s="3">
        <v>43343</v>
      </c>
    </row>
    <row r="2047" spans="1:7" ht="26.2" x14ac:dyDescent="0.3">
      <c r="A2047" s="1" t="s">
        <v>2439</v>
      </c>
      <c r="B2047" s="1" t="s">
        <v>2604</v>
      </c>
      <c r="C2047" s="1" t="s">
        <v>2464</v>
      </c>
      <c r="D2047" s="2" t="str">
        <f>HYPERLINK("https://inventaire.cncp.gouv.fr/fiches/1454/","1454")</f>
        <v>1454</v>
      </c>
      <c r="E2047" s="2" t="str">
        <f>HYPERLINK("http://www.intercariforef.org/formations/certification-86405.html","86405")</f>
        <v>86405</v>
      </c>
      <c r="F2047" s="3">
        <v>42340</v>
      </c>
      <c r="G2047" s="3">
        <v>42979</v>
      </c>
    </row>
    <row r="2048" spans="1:7" x14ac:dyDescent="0.3">
      <c r="A2048" s="1" t="s">
        <v>2439</v>
      </c>
      <c r="B2048" s="1" t="s">
        <v>2605</v>
      </c>
      <c r="C2048" s="1" t="s">
        <v>102</v>
      </c>
      <c r="D2048" s="2" t="str">
        <f>HYPERLINK("https://inventaire.cncp.gouv.fr/fiches/1534/","1534")</f>
        <v>1534</v>
      </c>
      <c r="E2048" s="2" t="str">
        <f>HYPERLINK("http://www.intercariforef.org/formations/certification-86403.html","86403")</f>
        <v>86403</v>
      </c>
      <c r="F2048" s="3">
        <v>42340</v>
      </c>
      <c r="G2048" s="3">
        <v>43017</v>
      </c>
    </row>
    <row r="2049" spans="1:7" x14ac:dyDescent="0.3">
      <c r="A2049" s="1" t="s">
        <v>2439</v>
      </c>
      <c r="B2049" s="1" t="s">
        <v>2606</v>
      </c>
      <c r="C2049" s="1" t="s">
        <v>40</v>
      </c>
      <c r="D2049" s="2" t="str">
        <f>HYPERLINK("https://inventaire.cncp.gouv.fr/fiches/70/","70")</f>
        <v>70</v>
      </c>
      <c r="E2049" s="2" t="str">
        <f>HYPERLINK("http://www.intercariforef.org/formations/certification-84515.html","84515")</f>
        <v>84515</v>
      </c>
      <c r="F2049" s="3">
        <v>42114</v>
      </c>
      <c r="G2049" s="3">
        <v>42979</v>
      </c>
    </row>
    <row r="2050" spans="1:7" ht="26.2" x14ac:dyDescent="0.3">
      <c r="A2050" s="1" t="s">
        <v>2439</v>
      </c>
      <c r="B2050" s="1" t="s">
        <v>2607</v>
      </c>
      <c r="C2050" s="1" t="s">
        <v>2464</v>
      </c>
      <c r="D2050" s="2" t="str">
        <f>HYPERLINK("https://inventaire.cncp.gouv.fr/fiches/1459/","1459")</f>
        <v>1459</v>
      </c>
      <c r="E2050" s="2" t="str">
        <f>HYPERLINK("http://www.intercariforef.org/formations/certification-86406.html","86406")</f>
        <v>86406</v>
      </c>
      <c r="F2050" s="3">
        <v>42340</v>
      </c>
      <c r="G2050" s="3">
        <v>42979</v>
      </c>
    </row>
    <row r="2051" spans="1:7" x14ac:dyDescent="0.3">
      <c r="A2051" s="1" t="s">
        <v>2439</v>
      </c>
      <c r="B2051" s="1" t="s">
        <v>2608</v>
      </c>
      <c r="C2051" s="1" t="s">
        <v>40</v>
      </c>
      <c r="D2051" s="2" t="str">
        <f>HYPERLINK("https://inventaire.cncp.gouv.fr/fiches/66/","66")</f>
        <v>66</v>
      </c>
      <c r="E2051" s="2" t="str">
        <f>HYPERLINK("http://www.intercariforef.org/formations/certification-84516.html","84516")</f>
        <v>84516</v>
      </c>
      <c r="F2051" s="3">
        <v>42114</v>
      </c>
      <c r="G2051" s="3">
        <v>42979</v>
      </c>
    </row>
    <row r="2052" spans="1:7" x14ac:dyDescent="0.3">
      <c r="A2052" s="1" t="s">
        <v>2439</v>
      </c>
      <c r="B2052" s="1" t="s">
        <v>2609</v>
      </c>
      <c r="C2052" s="1" t="s">
        <v>2007</v>
      </c>
      <c r="D2052" s="2" t="str">
        <f>HYPERLINK("https://inventaire.cncp.gouv.fr/fiches/1100/","1100")</f>
        <v>1100</v>
      </c>
      <c r="E2052" s="2" t="str">
        <f>HYPERLINK("http://www.intercariforef.org/formations/certification-85641.html","85641")</f>
        <v>85641</v>
      </c>
      <c r="F2052" s="3">
        <v>42270</v>
      </c>
      <c r="G2052" s="3">
        <v>43111</v>
      </c>
    </row>
    <row r="2053" spans="1:7" x14ac:dyDescent="0.3">
      <c r="A2053" s="1" t="s">
        <v>2439</v>
      </c>
      <c r="B2053" s="1" t="s">
        <v>2610</v>
      </c>
      <c r="C2053" s="1" t="s">
        <v>70</v>
      </c>
      <c r="D2053" s="2" t="str">
        <f>HYPERLINK("https://inventaire.cncp.gouv.fr/fiches/965/","965")</f>
        <v>965</v>
      </c>
      <c r="E2053" s="2" t="str">
        <f>HYPERLINK("http://www.intercariforef.org/formations/certification-85076.html","85076")</f>
        <v>85076</v>
      </c>
      <c r="F2053" s="3">
        <v>42185</v>
      </c>
      <c r="G2053" s="3">
        <v>43111</v>
      </c>
    </row>
    <row r="2054" spans="1:7" x14ac:dyDescent="0.3">
      <c r="A2054" s="1" t="s">
        <v>2439</v>
      </c>
      <c r="B2054" s="1" t="s">
        <v>2611</v>
      </c>
      <c r="C2054" s="1" t="s">
        <v>40</v>
      </c>
      <c r="D2054" s="2" t="str">
        <f>HYPERLINK("https://inventaire.cncp.gouv.fr/fiches/853/","853")</f>
        <v>853</v>
      </c>
      <c r="E2054" s="2" t="str">
        <f>HYPERLINK("http://www.intercariforef.org/formations/certification-85033.html","85033")</f>
        <v>85033</v>
      </c>
      <c r="F2054" s="3">
        <v>42185</v>
      </c>
      <c r="G2054" s="3">
        <v>42979</v>
      </c>
    </row>
    <row r="2055" spans="1:7" ht="26.2" x14ac:dyDescent="0.3">
      <c r="A2055" s="1" t="s">
        <v>2439</v>
      </c>
      <c r="B2055" s="1" t="s">
        <v>2612</v>
      </c>
      <c r="C2055" s="1" t="s">
        <v>40</v>
      </c>
      <c r="D2055" s="2" t="str">
        <f>HYPERLINK("https://inventaire.cncp.gouv.fr/fiches/938/","938")</f>
        <v>938</v>
      </c>
      <c r="E2055" s="2" t="str">
        <f>HYPERLINK("http://www.intercariforef.org/formations/certification-85059.html","85059")</f>
        <v>85059</v>
      </c>
      <c r="F2055" s="3">
        <v>42185</v>
      </c>
      <c r="G2055" s="3">
        <v>42979</v>
      </c>
    </row>
    <row r="2056" spans="1:7" ht="39.299999999999997" x14ac:dyDescent="0.3">
      <c r="A2056" s="1" t="s">
        <v>2439</v>
      </c>
      <c r="B2056" s="1" t="s">
        <v>2613</v>
      </c>
      <c r="C2056" s="1" t="s">
        <v>40</v>
      </c>
      <c r="D2056" s="2" t="str">
        <f>HYPERLINK("https://inventaire.cncp.gouv.fr/fiches/963/","963")</f>
        <v>963</v>
      </c>
      <c r="E2056" s="2" t="str">
        <f>HYPERLINK("http://www.intercariforef.org/formations/certification-85073.html","85073")</f>
        <v>85073</v>
      </c>
      <c r="F2056" s="3">
        <v>42185</v>
      </c>
      <c r="G2056" s="3">
        <v>42979</v>
      </c>
    </row>
    <row r="2057" spans="1:7" x14ac:dyDescent="0.3">
      <c r="A2057" s="1" t="s">
        <v>2439</v>
      </c>
      <c r="B2057" s="1" t="s">
        <v>2614</v>
      </c>
      <c r="C2057" s="1" t="s">
        <v>40</v>
      </c>
      <c r="D2057" s="2" t="str">
        <f>HYPERLINK("https://inventaire.cncp.gouv.fr/fiches/950/","950")</f>
        <v>950</v>
      </c>
      <c r="E2057" s="2" t="str">
        <f>HYPERLINK("http://www.intercariforef.org/formations/certification-85070.html","85070")</f>
        <v>85070</v>
      </c>
      <c r="F2057" s="3">
        <v>42185</v>
      </c>
      <c r="G2057" s="3">
        <v>42979</v>
      </c>
    </row>
    <row r="2058" spans="1:7" ht="39.299999999999997" x14ac:dyDescent="0.3">
      <c r="A2058" s="1" t="s">
        <v>2439</v>
      </c>
      <c r="B2058" s="1" t="s">
        <v>2615</v>
      </c>
      <c r="C2058" s="1" t="s">
        <v>40</v>
      </c>
      <c r="D2058" s="2" t="str">
        <f>HYPERLINK("https://inventaire.cncp.gouv.fr/fiches/957/","957")</f>
        <v>957</v>
      </c>
      <c r="E2058" s="2" t="str">
        <f>HYPERLINK("http://www.intercariforef.org/formations/certification-85032.html","85032")</f>
        <v>85032</v>
      </c>
      <c r="F2058" s="3">
        <v>42185</v>
      </c>
      <c r="G2058" s="3">
        <v>42979</v>
      </c>
    </row>
    <row r="2059" spans="1:7" ht="26.2" x14ac:dyDescent="0.3">
      <c r="A2059" s="1" t="s">
        <v>2439</v>
      </c>
      <c r="B2059" s="1" t="s">
        <v>2616</v>
      </c>
      <c r="C2059" s="1" t="s">
        <v>40</v>
      </c>
      <c r="D2059" s="2" t="str">
        <f>HYPERLINK("https://inventaire.cncp.gouv.fr/fiches/952/","952")</f>
        <v>952</v>
      </c>
      <c r="E2059" s="2" t="str">
        <f>HYPERLINK("http://www.intercariforef.org/formations/certification-85031.html","85031")</f>
        <v>85031</v>
      </c>
      <c r="F2059" s="3">
        <v>42185</v>
      </c>
      <c r="G2059" s="3">
        <v>42979</v>
      </c>
    </row>
    <row r="2060" spans="1:7" x14ac:dyDescent="0.3">
      <c r="A2060" s="1" t="s">
        <v>2439</v>
      </c>
      <c r="B2060" s="1" t="s">
        <v>2617</v>
      </c>
      <c r="C2060" s="1" t="s">
        <v>40</v>
      </c>
      <c r="D2060" s="2" t="str">
        <f>HYPERLINK("https://inventaire.cncp.gouv.fr/fiches/954/","954")</f>
        <v>954</v>
      </c>
      <c r="E2060" s="2" t="str">
        <f>HYPERLINK("http://www.intercariforef.org/formations/certification-85027.html","85027")</f>
        <v>85027</v>
      </c>
      <c r="F2060" s="3">
        <v>42185</v>
      </c>
      <c r="G2060" s="3">
        <v>42979</v>
      </c>
    </row>
    <row r="2061" spans="1:7" ht="26.2" x14ac:dyDescent="0.3">
      <c r="A2061" s="1" t="s">
        <v>2439</v>
      </c>
      <c r="B2061" s="1" t="s">
        <v>2618</v>
      </c>
      <c r="C2061" s="1" t="s">
        <v>40</v>
      </c>
      <c r="D2061" s="2" t="str">
        <f>HYPERLINK("https://inventaire.cncp.gouv.fr/fiches/956/","956")</f>
        <v>956</v>
      </c>
      <c r="E2061" s="2" t="str">
        <f>HYPERLINK("http://www.intercariforef.org/formations/certification-85071.html","85071")</f>
        <v>85071</v>
      </c>
      <c r="F2061" s="3">
        <v>42185</v>
      </c>
      <c r="G2061" s="3">
        <v>42979</v>
      </c>
    </row>
    <row r="2062" spans="1:7" x14ac:dyDescent="0.3">
      <c r="A2062" s="1" t="s">
        <v>2439</v>
      </c>
      <c r="B2062" s="1" t="s">
        <v>2619</v>
      </c>
      <c r="C2062" s="1" t="s">
        <v>40</v>
      </c>
      <c r="D2062" s="2" t="str">
        <f>HYPERLINK("https://inventaire.cncp.gouv.fr/fiches/958/","958")</f>
        <v>958</v>
      </c>
      <c r="E2062" s="2" t="str">
        <f>HYPERLINK("http://www.intercariforef.org/formations/certification-85026.html","85026")</f>
        <v>85026</v>
      </c>
      <c r="F2062" s="3">
        <v>42185</v>
      </c>
      <c r="G2062" s="3">
        <v>42979</v>
      </c>
    </row>
    <row r="2063" spans="1:7" x14ac:dyDescent="0.3">
      <c r="A2063" s="1" t="s">
        <v>2439</v>
      </c>
      <c r="B2063" s="1" t="s">
        <v>2620</v>
      </c>
      <c r="C2063" s="1" t="s">
        <v>40</v>
      </c>
      <c r="D2063" s="2" t="str">
        <f>HYPERLINK("https://inventaire.cncp.gouv.fr/fiches/959/","959")</f>
        <v>959</v>
      </c>
      <c r="E2063" s="2" t="str">
        <f>HYPERLINK("http://www.intercariforef.org/formations/certification-85030.html","85030")</f>
        <v>85030</v>
      </c>
      <c r="F2063" s="3">
        <v>42185</v>
      </c>
      <c r="G2063" s="3">
        <v>42979</v>
      </c>
    </row>
    <row r="2064" spans="1:7" x14ac:dyDescent="0.3">
      <c r="A2064" s="1" t="s">
        <v>2439</v>
      </c>
      <c r="B2064" s="1" t="s">
        <v>2621</v>
      </c>
      <c r="C2064" s="1" t="s">
        <v>40</v>
      </c>
      <c r="D2064" s="2" t="str">
        <f>HYPERLINK("https://inventaire.cncp.gouv.fr/fiches/960/","960")</f>
        <v>960</v>
      </c>
      <c r="E2064" s="2" t="str">
        <f>HYPERLINK("http://www.intercariforef.org/formations/certification-85028.html","85028")</f>
        <v>85028</v>
      </c>
      <c r="F2064" s="3">
        <v>42185</v>
      </c>
      <c r="G2064" s="3">
        <v>42979</v>
      </c>
    </row>
    <row r="2065" spans="1:7" ht="26.2" x14ac:dyDescent="0.3">
      <c r="A2065" s="1" t="s">
        <v>2439</v>
      </c>
      <c r="B2065" s="1" t="s">
        <v>2622</v>
      </c>
      <c r="C2065" s="1" t="s">
        <v>40</v>
      </c>
      <c r="D2065" s="2" t="str">
        <f>HYPERLINK("https://inventaire.cncp.gouv.fr/fiches/962/","962")</f>
        <v>962</v>
      </c>
      <c r="E2065" s="2" t="str">
        <f>HYPERLINK("http://www.intercariforef.org/formations/certification-85072.html","85072")</f>
        <v>85072</v>
      </c>
      <c r="F2065" s="3">
        <v>42185</v>
      </c>
      <c r="G2065" s="3">
        <v>42979</v>
      </c>
    </row>
    <row r="2066" spans="1:7" x14ac:dyDescent="0.3">
      <c r="A2066" s="1" t="s">
        <v>2439</v>
      </c>
      <c r="B2066" s="1" t="s">
        <v>2623</v>
      </c>
      <c r="C2066" s="1" t="s">
        <v>40</v>
      </c>
      <c r="D2066" s="2" t="str">
        <f>HYPERLINK("https://inventaire.cncp.gouv.fr/fiches/935/","935")</f>
        <v>935</v>
      </c>
      <c r="E2066" s="2" t="str">
        <f>HYPERLINK("http://www.intercariforef.org/formations/certification-85057.html","85057")</f>
        <v>85057</v>
      </c>
      <c r="F2066" s="3">
        <v>42185</v>
      </c>
      <c r="G2066" s="3">
        <v>42979</v>
      </c>
    </row>
    <row r="2067" spans="1:7" x14ac:dyDescent="0.3">
      <c r="A2067" s="1" t="s">
        <v>2439</v>
      </c>
      <c r="B2067" s="1" t="s">
        <v>2624</v>
      </c>
      <c r="C2067" s="1" t="s">
        <v>40</v>
      </c>
      <c r="D2067" s="2" t="str">
        <f>HYPERLINK("https://inventaire.cncp.gouv.fr/fiches/964/","964")</f>
        <v>964</v>
      </c>
      <c r="E2067" s="2" t="str">
        <f>HYPERLINK("http://www.intercariforef.org/formations/certification-85074.html","85074")</f>
        <v>85074</v>
      </c>
      <c r="F2067" s="3">
        <v>42185</v>
      </c>
      <c r="G2067" s="3">
        <v>42979</v>
      </c>
    </row>
    <row r="2068" spans="1:7" ht="39.299999999999997" x14ac:dyDescent="0.3">
      <c r="A2068" s="1" t="s">
        <v>2439</v>
      </c>
      <c r="B2068" s="1" t="s">
        <v>2625</v>
      </c>
      <c r="C2068" s="1" t="s">
        <v>40</v>
      </c>
      <c r="D2068" s="2" t="str">
        <f>HYPERLINK("https://inventaire.cncp.gouv.fr/fiches/977/","977")</f>
        <v>977</v>
      </c>
      <c r="E2068" s="2" t="str">
        <f>HYPERLINK("http://www.intercariforef.org/formations/certification-85069.html","85069")</f>
        <v>85069</v>
      </c>
      <c r="F2068" s="3">
        <v>42185</v>
      </c>
      <c r="G2068" s="3">
        <v>42979</v>
      </c>
    </row>
    <row r="2069" spans="1:7" ht="26.2" x14ac:dyDescent="0.3">
      <c r="A2069" s="1" t="s">
        <v>2439</v>
      </c>
      <c r="B2069" s="1" t="s">
        <v>2626</v>
      </c>
      <c r="C2069" s="1" t="s">
        <v>40</v>
      </c>
      <c r="D2069" s="2" t="str">
        <f>HYPERLINK("https://inventaire.cncp.gouv.fr/fiches/978/","978")</f>
        <v>978</v>
      </c>
      <c r="E2069" s="2" t="str">
        <f>HYPERLINK("http://www.intercariforef.org/formations/certification-85068.html","85068")</f>
        <v>85068</v>
      </c>
      <c r="F2069" s="3">
        <v>42185</v>
      </c>
      <c r="G2069" s="3">
        <v>42979</v>
      </c>
    </row>
    <row r="2070" spans="1:7" x14ac:dyDescent="0.3">
      <c r="A2070" s="1" t="s">
        <v>2439</v>
      </c>
      <c r="B2070" s="1" t="s">
        <v>2627</v>
      </c>
      <c r="C2070" s="1" t="s">
        <v>40</v>
      </c>
      <c r="D2070" s="2" t="str">
        <f>HYPERLINK("https://inventaire.cncp.gouv.fr/fiches/979/","979")</f>
        <v>979</v>
      </c>
      <c r="E2070" s="2" t="str">
        <f>HYPERLINK("http://www.intercariforef.org/formations/certification-85066.html","85066")</f>
        <v>85066</v>
      </c>
      <c r="F2070" s="3">
        <v>42185</v>
      </c>
      <c r="G2070" s="3">
        <v>42979</v>
      </c>
    </row>
    <row r="2071" spans="1:7" x14ac:dyDescent="0.3">
      <c r="A2071" s="1" t="s">
        <v>2439</v>
      </c>
      <c r="B2071" s="1" t="s">
        <v>2628</v>
      </c>
      <c r="C2071" s="1" t="s">
        <v>40</v>
      </c>
      <c r="D2071" s="2" t="str">
        <f>HYPERLINK("https://inventaire.cncp.gouv.fr/fiches/980/","980")</f>
        <v>980</v>
      </c>
      <c r="E2071" s="2" t="str">
        <f>HYPERLINK("http://www.intercariforef.org/formations/certification-85065.html","85065")</f>
        <v>85065</v>
      </c>
      <c r="F2071" s="3">
        <v>42185</v>
      </c>
      <c r="G2071" s="3">
        <v>42979</v>
      </c>
    </row>
    <row r="2072" spans="1:7" x14ac:dyDescent="0.3">
      <c r="A2072" s="1" t="s">
        <v>2439</v>
      </c>
      <c r="B2072" s="1" t="s">
        <v>2629</v>
      </c>
      <c r="C2072" s="1" t="s">
        <v>40</v>
      </c>
      <c r="D2072" s="2" t="str">
        <f>HYPERLINK("https://inventaire.cncp.gouv.fr/fiches/984/","984")</f>
        <v>984</v>
      </c>
      <c r="E2072" s="2" t="str">
        <f>HYPERLINK("http://www.intercariforef.org/formations/certification-85064.html","85064")</f>
        <v>85064</v>
      </c>
      <c r="F2072" s="3">
        <v>42185</v>
      </c>
      <c r="G2072" s="3">
        <v>42979</v>
      </c>
    </row>
    <row r="2073" spans="1:7" x14ac:dyDescent="0.3">
      <c r="A2073" s="1" t="s">
        <v>2439</v>
      </c>
      <c r="B2073" s="1" t="s">
        <v>2630</v>
      </c>
      <c r="C2073" s="1" t="s">
        <v>40</v>
      </c>
      <c r="D2073" s="2" t="str">
        <f>HYPERLINK("https://inventaire.cncp.gouv.fr/fiches/985/","985")</f>
        <v>985</v>
      </c>
      <c r="E2073" s="2" t="str">
        <f>HYPERLINK("http://www.intercariforef.org/formations/certification-85062.html","85062")</f>
        <v>85062</v>
      </c>
      <c r="F2073" s="3">
        <v>42185</v>
      </c>
      <c r="G2073" s="3">
        <v>42979</v>
      </c>
    </row>
    <row r="2074" spans="1:7" x14ac:dyDescent="0.3">
      <c r="A2074" s="1" t="s">
        <v>2439</v>
      </c>
      <c r="B2074" s="1" t="s">
        <v>2631</v>
      </c>
      <c r="C2074" s="1" t="s">
        <v>40</v>
      </c>
      <c r="D2074" s="2" t="str">
        <f>HYPERLINK("https://inventaire.cncp.gouv.fr/fiches/986/","986")</f>
        <v>986</v>
      </c>
      <c r="E2074" s="2" t="str">
        <f>HYPERLINK("http://www.intercariforef.org/formations/certification-85060.html","85060")</f>
        <v>85060</v>
      </c>
      <c r="F2074" s="3">
        <v>42185</v>
      </c>
      <c r="G2074" s="3">
        <v>42979</v>
      </c>
    </row>
    <row r="2075" spans="1:7" x14ac:dyDescent="0.3">
      <c r="A2075" s="1" t="s">
        <v>2439</v>
      </c>
      <c r="B2075" s="1" t="s">
        <v>2632</v>
      </c>
      <c r="C2075" s="1" t="s">
        <v>40</v>
      </c>
      <c r="D2075" s="2" t="str">
        <f>HYPERLINK("https://inventaire.cncp.gouv.fr/fiches/103/","103")</f>
        <v>103</v>
      </c>
      <c r="E2075" s="2" t="str">
        <f>HYPERLINK("http://www.intercariforef.org/formations/certification-84514.html","84514")</f>
        <v>84514</v>
      </c>
      <c r="F2075" s="3">
        <v>42114</v>
      </c>
      <c r="G2075" s="3">
        <v>42979</v>
      </c>
    </row>
    <row r="2076" spans="1:7" x14ac:dyDescent="0.3">
      <c r="A2076" s="1" t="s">
        <v>2439</v>
      </c>
      <c r="B2076" s="1" t="s">
        <v>2633</v>
      </c>
      <c r="C2076" s="1" t="s">
        <v>40</v>
      </c>
      <c r="D2076" s="2" t="str">
        <f>HYPERLINK("https://inventaire.cncp.gouv.fr/fiches/62/","62")</f>
        <v>62</v>
      </c>
      <c r="E2076" s="2" t="str">
        <f>HYPERLINK("http://www.intercariforef.org/formations/certification-84530.html","84530")</f>
        <v>84530</v>
      </c>
      <c r="F2076" s="3">
        <v>42114</v>
      </c>
      <c r="G2076" s="3">
        <v>42979</v>
      </c>
    </row>
    <row r="2077" spans="1:7" x14ac:dyDescent="0.3">
      <c r="A2077" s="1" t="s">
        <v>2634</v>
      </c>
      <c r="B2077" s="1" t="s">
        <v>2635</v>
      </c>
      <c r="C2077" s="1" t="s">
        <v>2636</v>
      </c>
      <c r="D2077" s="2" t="str">
        <f>HYPERLINK("https://inventaire.cncp.gouv.fr/fiches/551/","551")</f>
        <v>551</v>
      </c>
      <c r="E2077" s="2" t="str">
        <f>HYPERLINK("http://www.intercariforef.org/formations/certification-84856.html","84856")</f>
        <v>84856</v>
      </c>
      <c r="F2077" s="3">
        <v>42177</v>
      </c>
      <c r="G2077" s="3">
        <v>42979</v>
      </c>
    </row>
    <row r="2078" spans="1:7" x14ac:dyDescent="0.3">
      <c r="A2078" s="1" t="s">
        <v>2634</v>
      </c>
      <c r="B2078" s="1" t="s">
        <v>2637</v>
      </c>
      <c r="C2078" s="1" t="s">
        <v>2638</v>
      </c>
      <c r="D2078" s="2" t="str">
        <f>HYPERLINK("https://inventaire.cncp.gouv.fr/fiches/2007/","2007")</f>
        <v>2007</v>
      </c>
      <c r="E2078" s="2" t="str">
        <f>HYPERLINK("http://www.intercariforef.org/formations/certification-88567.html","88567")</f>
        <v>88567</v>
      </c>
      <c r="F2078" s="3">
        <v>42481</v>
      </c>
      <c r="G2078" s="3">
        <v>42481</v>
      </c>
    </row>
    <row r="2079" spans="1:7" x14ac:dyDescent="0.3">
      <c r="A2079" s="1" t="s">
        <v>2634</v>
      </c>
      <c r="B2079" s="1" t="s">
        <v>2639</v>
      </c>
      <c r="C2079" s="1" t="s">
        <v>2638</v>
      </c>
      <c r="D2079" s="2" t="str">
        <f>HYPERLINK("https://inventaire.cncp.gouv.fr/fiches/2008/","2008")</f>
        <v>2008</v>
      </c>
      <c r="E2079" s="2" t="str">
        <f>HYPERLINK("http://www.intercariforef.org/formations/certification-88565.html","88565")</f>
        <v>88565</v>
      </c>
      <c r="F2079" s="3">
        <v>42481</v>
      </c>
      <c r="G2079" s="3">
        <v>42481</v>
      </c>
    </row>
    <row r="2080" spans="1:7" x14ac:dyDescent="0.3">
      <c r="A2080" s="1" t="s">
        <v>2634</v>
      </c>
      <c r="B2080" s="1" t="s">
        <v>2640</v>
      </c>
      <c r="C2080" s="1" t="s">
        <v>2638</v>
      </c>
      <c r="D2080" s="2" t="str">
        <f>HYPERLINK("https://inventaire.cncp.gouv.fr/fiches/2002/","2002")</f>
        <v>2002</v>
      </c>
      <c r="E2080" s="2" t="str">
        <f>HYPERLINK("http://www.intercariforef.org/formations/certification-88557.html","88557")</f>
        <v>88557</v>
      </c>
      <c r="F2080" s="3">
        <v>42481</v>
      </c>
      <c r="G2080" s="3">
        <v>42481</v>
      </c>
    </row>
    <row r="2081" spans="1:7" x14ac:dyDescent="0.3">
      <c r="A2081" s="1" t="s">
        <v>2634</v>
      </c>
      <c r="B2081" s="1" t="s">
        <v>2641</v>
      </c>
      <c r="C2081" s="1" t="s">
        <v>2638</v>
      </c>
      <c r="D2081" s="2" t="str">
        <f>HYPERLINK("https://inventaire.cncp.gouv.fr/fiches/2004/","2004")</f>
        <v>2004</v>
      </c>
      <c r="E2081" s="2" t="str">
        <f>HYPERLINK("http://www.intercariforef.org/formations/certification-88559.html","88559")</f>
        <v>88559</v>
      </c>
      <c r="F2081" s="3">
        <v>42481</v>
      </c>
      <c r="G2081" s="3">
        <v>42481</v>
      </c>
    </row>
    <row r="2082" spans="1:7" x14ac:dyDescent="0.3">
      <c r="A2082" s="1" t="s">
        <v>2634</v>
      </c>
      <c r="B2082" s="1" t="s">
        <v>2642</v>
      </c>
      <c r="C2082" s="1" t="s">
        <v>2638</v>
      </c>
      <c r="D2082" s="2" t="str">
        <f>HYPERLINK("https://inventaire.cncp.gouv.fr/fiches/2005/","2005")</f>
        <v>2005</v>
      </c>
      <c r="E2082" s="2" t="str">
        <f>HYPERLINK("http://www.intercariforef.org/formations/certification-88561.html","88561")</f>
        <v>88561</v>
      </c>
      <c r="F2082" s="3">
        <v>42481</v>
      </c>
      <c r="G2082" s="3">
        <v>42481</v>
      </c>
    </row>
    <row r="2083" spans="1:7" x14ac:dyDescent="0.3">
      <c r="A2083" s="1" t="s">
        <v>2634</v>
      </c>
      <c r="B2083" s="1" t="s">
        <v>2643</v>
      </c>
      <c r="C2083" s="1" t="s">
        <v>2638</v>
      </c>
      <c r="D2083" s="2" t="str">
        <f>HYPERLINK("https://inventaire.cncp.gouv.fr/fiches/2006/","2006")</f>
        <v>2006</v>
      </c>
      <c r="E2083" s="2" t="str">
        <f>HYPERLINK("http://www.intercariforef.org/formations/certification-88563.html","88563")</f>
        <v>88563</v>
      </c>
      <c r="F2083" s="3">
        <v>42481</v>
      </c>
      <c r="G2083" s="3">
        <v>42481</v>
      </c>
    </row>
    <row r="2084" spans="1:7" ht="26.2" x14ac:dyDescent="0.3">
      <c r="A2084" s="1" t="s">
        <v>2634</v>
      </c>
      <c r="B2084" s="1" t="s">
        <v>2644</v>
      </c>
      <c r="C2084" s="1" t="s">
        <v>2645</v>
      </c>
      <c r="D2084" s="2" t="str">
        <f>HYPERLINK("https://inventaire.cncp.gouv.fr/fiches/975/","975")</f>
        <v>975</v>
      </c>
      <c r="E2084" s="2" t="str">
        <f>HYPERLINK("http://www.intercariforef.org/formations/certification-85075.html","85075")</f>
        <v>85075</v>
      </c>
      <c r="F2084" s="3">
        <v>42185</v>
      </c>
      <c r="G2084" s="3">
        <v>42979</v>
      </c>
    </row>
    <row r="2085" spans="1:7" ht="26.2" x14ac:dyDescent="0.3">
      <c r="A2085" s="1" t="s">
        <v>2634</v>
      </c>
      <c r="B2085" s="1" t="s">
        <v>2646</v>
      </c>
      <c r="C2085" s="1" t="s">
        <v>2645</v>
      </c>
      <c r="D2085" s="2" t="str">
        <f>HYPERLINK("https://inventaire.cncp.gouv.fr/fiches/827/","827")</f>
        <v>827</v>
      </c>
      <c r="E2085" s="2" t="str">
        <f>HYPERLINK("http://www.intercariforef.org/formations/certification-85046.html","85046")</f>
        <v>85046</v>
      </c>
      <c r="F2085" s="3">
        <v>42185</v>
      </c>
      <c r="G2085" s="3">
        <v>42185</v>
      </c>
    </row>
    <row r="2086" spans="1:7" ht="26.2" x14ac:dyDescent="0.3">
      <c r="A2086" s="1" t="s">
        <v>2634</v>
      </c>
      <c r="B2086" s="1" t="s">
        <v>2647</v>
      </c>
      <c r="C2086" s="1" t="s">
        <v>2645</v>
      </c>
      <c r="D2086" s="2" t="str">
        <f>HYPERLINK("https://inventaire.cncp.gouv.fr/fiches/970/","970")</f>
        <v>970</v>
      </c>
      <c r="E2086" s="2" t="str">
        <f>HYPERLINK("http://www.intercariforef.org/formations/certification-85080.html","85080")</f>
        <v>85080</v>
      </c>
      <c r="F2086" s="3">
        <v>42185</v>
      </c>
      <c r="G2086" s="3">
        <v>42185</v>
      </c>
    </row>
    <row r="2087" spans="1:7" x14ac:dyDescent="0.3">
      <c r="A2087" s="1" t="s">
        <v>2634</v>
      </c>
      <c r="B2087" s="1" t="s">
        <v>2648</v>
      </c>
      <c r="C2087" s="1" t="s">
        <v>2649</v>
      </c>
      <c r="D2087" s="2" t="str">
        <f>HYPERLINK("https://inventaire.cncp.gouv.fr/fiches/1301/","1301")</f>
        <v>1301</v>
      </c>
      <c r="E2087" s="2" t="str">
        <f>HYPERLINK("http://www.intercariforef.org/formations/certification-85587.html","85587")</f>
        <v>85587</v>
      </c>
      <c r="F2087" s="3">
        <v>42269</v>
      </c>
      <c r="G2087" s="3">
        <v>42269</v>
      </c>
    </row>
    <row r="2088" spans="1:7" x14ac:dyDescent="0.3">
      <c r="A2088" s="1" t="s">
        <v>2634</v>
      </c>
      <c r="B2088" s="1" t="s">
        <v>2650</v>
      </c>
      <c r="C2088" s="1" t="s">
        <v>2636</v>
      </c>
      <c r="D2088" s="2" t="str">
        <f>HYPERLINK("https://inventaire.cncp.gouv.fr/fiches/545/","545")</f>
        <v>545</v>
      </c>
      <c r="E2088" s="2" t="str">
        <f>HYPERLINK("http://www.intercariforef.org/formations/certification-84602.html","84602")</f>
        <v>84602</v>
      </c>
      <c r="F2088" s="3">
        <v>42142</v>
      </c>
      <c r="G2088" s="3">
        <v>42142</v>
      </c>
    </row>
    <row r="2089" spans="1:7" x14ac:dyDescent="0.3">
      <c r="A2089" s="1" t="s">
        <v>2634</v>
      </c>
      <c r="B2089" s="1" t="s">
        <v>2651</v>
      </c>
      <c r="C2089" s="1" t="s">
        <v>2652</v>
      </c>
      <c r="D2089" s="2" t="str">
        <f>HYPERLINK("https://inventaire.cncp.gouv.fr/fiches/1258/","1258")</f>
        <v>1258</v>
      </c>
      <c r="E2089" s="2" t="str">
        <f>HYPERLINK("http://www.intercariforef.org/formations/certification-86469.html","86469")</f>
        <v>86469</v>
      </c>
      <c r="F2089" s="3">
        <v>42342</v>
      </c>
      <c r="G2089" s="3">
        <v>42342</v>
      </c>
    </row>
    <row r="2090" spans="1:7" x14ac:dyDescent="0.3">
      <c r="A2090" s="1" t="s">
        <v>2634</v>
      </c>
      <c r="B2090" s="1" t="s">
        <v>2653</v>
      </c>
      <c r="C2090" s="1" t="s">
        <v>2654</v>
      </c>
      <c r="D2090" s="2" t="str">
        <f>HYPERLINK("https://inventaire.cncp.gouv.fr/fiches/549/","549")</f>
        <v>549</v>
      </c>
      <c r="E2090" s="2" t="str">
        <f>HYPERLINK("http://www.intercariforef.org/formations/certification-84858.html","84858")</f>
        <v>84858</v>
      </c>
      <c r="F2090" s="3">
        <v>42177</v>
      </c>
      <c r="G2090" s="3">
        <v>42177</v>
      </c>
    </row>
    <row r="2091" spans="1:7" x14ac:dyDescent="0.3">
      <c r="A2091" s="1" t="s">
        <v>2634</v>
      </c>
      <c r="B2091" s="1" t="s">
        <v>2655</v>
      </c>
      <c r="C2091" s="1" t="s">
        <v>2636</v>
      </c>
      <c r="D2091" s="2" t="str">
        <f>HYPERLINK("https://inventaire.cncp.gouv.fr/fiches/679/","679")</f>
        <v>679</v>
      </c>
      <c r="E2091" s="2" t="str">
        <f>HYPERLINK("http://www.intercariforef.org/formations/certification-84862.html","84862")</f>
        <v>84862</v>
      </c>
      <c r="F2091" s="3">
        <v>42177</v>
      </c>
      <c r="G2091" s="3">
        <v>42177</v>
      </c>
    </row>
    <row r="2092" spans="1:7" ht="26.2" x14ac:dyDescent="0.3">
      <c r="A2092" s="1" t="s">
        <v>2634</v>
      </c>
      <c r="B2092" s="1" t="s">
        <v>2656</v>
      </c>
      <c r="C2092" s="1" t="s">
        <v>2636</v>
      </c>
      <c r="D2092" s="2" t="str">
        <f>HYPERLINK("https://inventaire.cncp.gouv.fr/fiches/680/","680")</f>
        <v>680</v>
      </c>
      <c r="E2092" s="2" t="str">
        <f>HYPERLINK("http://www.intercariforef.org/formations/certification-84864.html","84864")</f>
        <v>84864</v>
      </c>
      <c r="F2092" s="3">
        <v>42177</v>
      </c>
      <c r="G2092" s="3">
        <v>42979</v>
      </c>
    </row>
    <row r="2093" spans="1:7" x14ac:dyDescent="0.3">
      <c r="A2093" s="1" t="s">
        <v>2634</v>
      </c>
      <c r="B2093" s="1" t="s">
        <v>2657</v>
      </c>
      <c r="C2093" s="1" t="s">
        <v>2636</v>
      </c>
      <c r="D2093" s="2" t="str">
        <f>HYPERLINK("https://inventaire.cncp.gouv.fr/fiches/668/","668")</f>
        <v>668</v>
      </c>
      <c r="E2093" s="2" t="str">
        <f>HYPERLINK("http://www.intercariforef.org/formations/certification-84866.html","84866")</f>
        <v>84866</v>
      </c>
      <c r="F2093" s="3">
        <v>42177</v>
      </c>
      <c r="G2093" s="3">
        <v>42979</v>
      </c>
    </row>
    <row r="2094" spans="1:7" x14ac:dyDescent="0.3">
      <c r="A2094" s="1" t="s">
        <v>2634</v>
      </c>
      <c r="B2094" s="1" t="s">
        <v>2658</v>
      </c>
      <c r="C2094" s="1" t="s">
        <v>2659</v>
      </c>
      <c r="D2094" s="2" t="str">
        <f>HYPERLINK("https://inventaire.cncp.gouv.fr/fiches/372/","372")</f>
        <v>372</v>
      </c>
      <c r="E2094" s="2" t="str">
        <f>HYPERLINK("http://www.intercariforef.org/formations/certification-84570.html","84570")</f>
        <v>84570</v>
      </c>
      <c r="F2094" s="3">
        <v>42129</v>
      </c>
      <c r="G2094" s="3">
        <v>42129</v>
      </c>
    </row>
    <row r="2095" spans="1:7" x14ac:dyDescent="0.3">
      <c r="A2095" s="1" t="s">
        <v>2634</v>
      </c>
      <c r="B2095" s="1" t="s">
        <v>2660</v>
      </c>
      <c r="C2095" s="1" t="s">
        <v>2659</v>
      </c>
      <c r="D2095" s="2" t="str">
        <f>HYPERLINK("https://inventaire.cncp.gouv.fr/fiches/374/","374")</f>
        <v>374</v>
      </c>
      <c r="E2095" s="2" t="str">
        <f>HYPERLINK("http://www.intercariforef.org/formations/certification-84569.html","84569")</f>
        <v>84569</v>
      </c>
      <c r="F2095" s="3">
        <v>42129</v>
      </c>
      <c r="G2095" s="3">
        <v>42129</v>
      </c>
    </row>
    <row r="2096" spans="1:7" x14ac:dyDescent="0.3">
      <c r="A2096" s="1" t="s">
        <v>2634</v>
      </c>
      <c r="B2096" s="1" t="s">
        <v>2661</v>
      </c>
      <c r="C2096" s="1" t="s">
        <v>2659</v>
      </c>
      <c r="D2096" s="2" t="str">
        <f>HYPERLINK("https://inventaire.cncp.gouv.fr/fiches/365/","365")</f>
        <v>365</v>
      </c>
      <c r="E2096" s="2" t="str">
        <f>HYPERLINK("http://www.intercariforef.org/formations/certification-84564.html","84564")</f>
        <v>84564</v>
      </c>
      <c r="F2096" s="3">
        <v>42129</v>
      </c>
      <c r="G2096" s="3">
        <v>42129</v>
      </c>
    </row>
    <row r="2097" spans="1:7" x14ac:dyDescent="0.3">
      <c r="A2097" s="1" t="s">
        <v>2634</v>
      </c>
      <c r="B2097" s="1" t="s">
        <v>2662</v>
      </c>
      <c r="C2097" s="1" t="s">
        <v>2659</v>
      </c>
      <c r="D2097" s="2" t="str">
        <f>HYPERLINK("https://inventaire.cncp.gouv.fr/fiches/366/","366")</f>
        <v>366</v>
      </c>
      <c r="E2097" s="2" t="str">
        <f>HYPERLINK("http://www.intercariforef.org/formations/certification-84565.html","84565")</f>
        <v>84565</v>
      </c>
      <c r="F2097" s="3">
        <v>42129</v>
      </c>
      <c r="G2097" s="3">
        <v>42129</v>
      </c>
    </row>
    <row r="2098" spans="1:7" x14ac:dyDescent="0.3">
      <c r="A2098" s="1" t="s">
        <v>2634</v>
      </c>
      <c r="B2098" s="1" t="s">
        <v>2663</v>
      </c>
      <c r="C2098" s="1" t="s">
        <v>2636</v>
      </c>
      <c r="D2098" s="2" t="str">
        <f>HYPERLINK("https://inventaire.cncp.gouv.fr/fiches/673/","673")</f>
        <v>673</v>
      </c>
      <c r="E2098" s="2" t="str">
        <f>HYPERLINK("http://www.intercariforef.org/formations/certification-84867.html","84867")</f>
        <v>84867</v>
      </c>
      <c r="F2098" s="3">
        <v>42177</v>
      </c>
      <c r="G2098" s="3">
        <v>42979</v>
      </c>
    </row>
    <row r="2099" spans="1:7" x14ac:dyDescent="0.3">
      <c r="A2099" s="1" t="s">
        <v>2634</v>
      </c>
      <c r="B2099" s="1" t="s">
        <v>2664</v>
      </c>
      <c r="C2099" s="1" t="s">
        <v>2659</v>
      </c>
      <c r="D2099" s="2" t="str">
        <f>HYPERLINK("https://inventaire.cncp.gouv.fr/fiches/367/","367")</f>
        <v>367</v>
      </c>
      <c r="E2099" s="2" t="str">
        <f>HYPERLINK("http://www.intercariforef.org/formations/certification-84567.html","84567")</f>
        <v>84567</v>
      </c>
      <c r="F2099" s="3">
        <v>42129</v>
      </c>
      <c r="G2099" s="3">
        <v>42129</v>
      </c>
    </row>
    <row r="2100" spans="1:7" x14ac:dyDescent="0.3">
      <c r="A2100" s="1" t="s">
        <v>2634</v>
      </c>
      <c r="B2100" s="1" t="s">
        <v>2665</v>
      </c>
      <c r="C2100" s="1" t="s">
        <v>2659</v>
      </c>
      <c r="D2100" s="2" t="str">
        <f>HYPERLINK("https://inventaire.cncp.gouv.fr/fiches/369/","369")</f>
        <v>369</v>
      </c>
      <c r="E2100" s="2" t="str">
        <f>HYPERLINK("http://www.intercariforef.org/formations/certification-84568.html","84568")</f>
        <v>84568</v>
      </c>
      <c r="F2100" s="3">
        <v>42129</v>
      </c>
      <c r="G2100" s="3">
        <v>42129</v>
      </c>
    </row>
    <row r="2101" spans="1:7" x14ac:dyDescent="0.3">
      <c r="A2101" s="1" t="s">
        <v>2634</v>
      </c>
      <c r="B2101" s="1" t="s">
        <v>2666</v>
      </c>
      <c r="C2101" s="1" t="s">
        <v>2659</v>
      </c>
      <c r="D2101" s="2" t="str">
        <f>HYPERLINK("https://inventaire.cncp.gouv.fr/fiches/370/","370")</f>
        <v>370</v>
      </c>
      <c r="E2101" s="2" t="str">
        <f>HYPERLINK("http://www.intercariforef.org/formations/certification-84566.html","84566")</f>
        <v>84566</v>
      </c>
      <c r="F2101" s="3">
        <v>42129</v>
      </c>
      <c r="G2101" s="3">
        <v>42129</v>
      </c>
    </row>
    <row r="2102" spans="1:7" ht="26.2" x14ac:dyDescent="0.3">
      <c r="A2102" s="1" t="s">
        <v>2634</v>
      </c>
      <c r="B2102" s="1" t="s">
        <v>2667</v>
      </c>
      <c r="C2102" s="1" t="s">
        <v>2636</v>
      </c>
      <c r="D2102" s="2" t="str">
        <f>HYPERLINK("https://inventaire.cncp.gouv.fr/fiches/676/","676")</f>
        <v>676</v>
      </c>
      <c r="E2102" s="2" t="str">
        <f>HYPERLINK("http://www.intercariforef.org/formations/certification-84868.html","84868")</f>
        <v>84868</v>
      </c>
      <c r="F2102" s="3">
        <v>42177</v>
      </c>
      <c r="G2102" s="3">
        <v>42177</v>
      </c>
    </row>
    <row r="2103" spans="1:7" x14ac:dyDescent="0.3">
      <c r="A2103" s="1" t="s">
        <v>2634</v>
      </c>
      <c r="B2103" s="1" t="s">
        <v>2668</v>
      </c>
      <c r="C2103" s="1" t="s">
        <v>2669</v>
      </c>
      <c r="D2103" s="2" t="str">
        <f>HYPERLINK("https://inventaire.cncp.gouv.fr/fiches/1305/","1305")</f>
        <v>1305</v>
      </c>
      <c r="E2103" s="2" t="str">
        <f>HYPERLINK("http://www.intercariforef.org/formations/certification-86218.html","86218")</f>
        <v>86218</v>
      </c>
      <c r="F2103" s="3">
        <v>42320</v>
      </c>
      <c r="G2103" s="3">
        <v>42320</v>
      </c>
    </row>
    <row r="2104" spans="1:7" x14ac:dyDescent="0.3">
      <c r="A2104" s="1" t="s">
        <v>2634</v>
      </c>
      <c r="B2104" s="1" t="s">
        <v>2670</v>
      </c>
      <c r="C2104" s="1" t="s">
        <v>2636</v>
      </c>
      <c r="D2104" s="2" t="str">
        <f>HYPERLINK("https://inventaire.cncp.gouv.fr/fiches/682/","682")</f>
        <v>682</v>
      </c>
      <c r="E2104" s="2" t="str">
        <f>HYPERLINK("http://www.intercariforef.org/formations/certification-84877.html","84877")</f>
        <v>84877</v>
      </c>
      <c r="F2104" s="3">
        <v>42177</v>
      </c>
      <c r="G2104" s="3">
        <v>42979</v>
      </c>
    </row>
    <row r="2105" spans="1:7" x14ac:dyDescent="0.3">
      <c r="A2105" s="1" t="s">
        <v>2634</v>
      </c>
      <c r="B2105" s="1" t="s">
        <v>2671</v>
      </c>
      <c r="C2105" s="1" t="s">
        <v>70</v>
      </c>
      <c r="D2105" s="2" t="str">
        <f>HYPERLINK("https://inventaire.cncp.gouv.fr/fiches/1298/","1298")</f>
        <v>1298</v>
      </c>
      <c r="E2105" s="2" t="str">
        <f>HYPERLINK("http://www.intercariforef.org/formations/certification-85568.html","85568")</f>
        <v>85568</v>
      </c>
      <c r="F2105" s="3">
        <v>42269</v>
      </c>
      <c r="G2105" s="3">
        <v>43111</v>
      </c>
    </row>
    <row r="2106" spans="1:7" x14ac:dyDescent="0.3">
      <c r="A2106" s="1" t="s">
        <v>2634</v>
      </c>
      <c r="B2106" s="1" t="s">
        <v>2672</v>
      </c>
      <c r="C2106" s="1" t="s">
        <v>2636</v>
      </c>
      <c r="D2106" s="2" t="str">
        <f>HYPERLINK("https://inventaire.cncp.gouv.fr/fiches/550/","550")</f>
        <v>550</v>
      </c>
      <c r="E2106" s="2" t="str">
        <f>HYPERLINK("http://www.intercariforef.org/formations/certification-84880.html","84880")</f>
        <v>84880</v>
      </c>
      <c r="F2106" s="3">
        <v>42177</v>
      </c>
      <c r="G2106" s="3">
        <v>42979</v>
      </c>
    </row>
    <row r="2107" spans="1:7" x14ac:dyDescent="0.3">
      <c r="A2107" s="1" t="s">
        <v>2634</v>
      </c>
      <c r="B2107" s="1" t="s">
        <v>2673</v>
      </c>
      <c r="C2107" s="1" t="s">
        <v>2636</v>
      </c>
      <c r="D2107" s="2" t="str">
        <f>HYPERLINK("https://inventaire.cncp.gouv.fr/fiches/548/","548")</f>
        <v>548</v>
      </c>
      <c r="E2107" s="2" t="str">
        <f>HYPERLINK("http://www.intercariforef.org/formations/certification-84603.html","84603")</f>
        <v>84603</v>
      </c>
      <c r="F2107" s="3">
        <v>42142</v>
      </c>
      <c r="G2107" s="3">
        <v>42142</v>
      </c>
    </row>
    <row r="2108" spans="1:7" x14ac:dyDescent="0.3">
      <c r="A2108" s="1" t="s">
        <v>2634</v>
      </c>
      <c r="B2108" s="1" t="s">
        <v>2674</v>
      </c>
      <c r="C2108" s="1" t="s">
        <v>2636</v>
      </c>
      <c r="D2108" s="2" t="str">
        <f>HYPERLINK("https://inventaire.cncp.gouv.fr/fiches/547/","547")</f>
        <v>547</v>
      </c>
      <c r="E2108" s="2" t="str">
        <f>HYPERLINK("http://www.intercariforef.org/formations/certification-84601.html","84601")</f>
        <v>84601</v>
      </c>
      <c r="F2108" s="3">
        <v>42142</v>
      </c>
      <c r="G2108" s="3">
        <v>42142</v>
      </c>
    </row>
  </sheetData>
  <autoFilter ref="A8:G2108" xr:uid="{00000000-0009-0000-0000-000000000000}"/>
  <mergeCells count="3">
    <mergeCell ref="B5:D5"/>
    <mergeCell ref="E5:F5"/>
    <mergeCell ref="A6:C6"/>
  </mergeCells>
  <hyperlinks>
    <hyperlink ref="B7" r:id="rId1" xr:uid="{EB9255E7-4A65-4706-9917-4A2085E218F1}"/>
  </hyperlinks>
  <pageMargins left="0.5" right="0.5" top="0.5" bottom="0.7" header="0.3" footer="0.3"/>
  <pageSetup paperSize="9" scale="62" orientation="landscape" r:id="rId2"/>
  <headerFooter>
    <oddFooter>&amp;CPage &amp;P</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Certifications</vt:lpstr>
      <vt:lpstr>Certifications</vt:lpstr>
    </vt:vector>
  </TitlesOfParts>
  <Company>Caisse des dépôts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Service Gestion CPF</dc:creator>
  <cp:lastModifiedBy>Aurélie Cossutta</cp:lastModifiedBy>
  <dcterms:created xsi:type="dcterms:W3CDTF">2018-11-05T08:50:14Z</dcterms:created>
  <dcterms:modified xsi:type="dcterms:W3CDTF">2018-11-08T09:35:55Z</dcterms:modified>
</cp:coreProperties>
</file>